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15" windowWidth="18780" windowHeight="7875"/>
  </bookViews>
  <sheets>
    <sheet name="all 3 def" sheetId="1" r:id="rId1"/>
    <sheet name="EMPOLI 22_2" sheetId="8" r:id="rId2"/>
    <sheet name="all 3 firenze " sheetId="7" r:id="rId3"/>
    <sheet name="prato 22_2" sheetId="5" r:id="rId4"/>
    <sheet name="all 3 pistoia" sheetId="6" r:id="rId5"/>
    <sheet name="ALL 4  def" sheetId="2" r:id="rId6"/>
  </sheets>
  <definedNames>
    <definedName name="____xlnm_Print_Titles" localSheetId="1">'EMPOLI 22_2'!$D:$I</definedName>
    <definedName name="____xlnm_Print_Titles_0" localSheetId="1">'EMPOLI 22_2'!$D:$I</definedName>
    <definedName name="____xlnm_Print_Titles_0_0" localSheetId="1">'EMPOLI 22_2'!$D:$I</definedName>
    <definedName name="____xlnm_Print_Titles_0_0_0" localSheetId="1">'EMPOLI 22_2'!$D:$I</definedName>
    <definedName name="___xlnm_Print_Titles" localSheetId="3">'prato 22_2'!$D:$I</definedName>
    <definedName name="___xlnm_Print_Titles_0" localSheetId="3">'prato 22_2'!$D:$I</definedName>
    <definedName name="___xlnm_Print_Titles_0_0" localSheetId="3">'prato 22_2'!$D:$I</definedName>
    <definedName name="___xlnm_Print_Titles_0_0_0" localSheetId="3">'prato 22_2'!$D:$I</definedName>
    <definedName name="__xlnm_Print_Titles" localSheetId="2">'all 3 firenze '!$D:$I</definedName>
    <definedName name="__xlnm_Print_Titles_0" localSheetId="2">'all 3 firenze '!$D:$I</definedName>
    <definedName name="__xlnm_Print_Titles_0_0" localSheetId="2">'all 3 firenze '!$D:$I</definedName>
    <definedName name="__xlnm_Print_Titles_0_0_0" localSheetId="2">'all 3 firenze '!$D:$I</definedName>
    <definedName name="_xlnm.Print_Area" localSheetId="4">'all 3 pistoia'!$D$1:$BB$52</definedName>
    <definedName name="_xlnm.Print_Area" localSheetId="1">'EMPOLI 22_2'!$D$3:$BG$45</definedName>
    <definedName name="OLE_LINK1" localSheetId="3">'prato 22_2'!$I$27</definedName>
    <definedName name="PRESIDI" localSheetId="0">#REF!</definedName>
    <definedName name="PRESIDI" localSheetId="2">#REF!</definedName>
    <definedName name="PRESIDI" localSheetId="5">#REF!</definedName>
    <definedName name="PRESIDI" localSheetId="1">#REF!</definedName>
    <definedName name="PRESIDI" localSheetId="3">#REF!</definedName>
    <definedName name="PRESIDI">#REF!</definedName>
    <definedName name="_xlnm.Print_Titles" localSheetId="0">'all 3 def'!$B:$B,'all 3 def'!$2:$3</definedName>
    <definedName name="_xlnm.Print_Titles" localSheetId="2">'all 3 firenze '!$D:$I,'all 3 firenze '!$3:$9</definedName>
    <definedName name="_xlnm.Print_Titles" localSheetId="4">'all 3 pistoia'!$D:$I,'all 3 pistoia'!$6:$8</definedName>
    <definedName name="_xlnm.Print_Titles" localSheetId="1">'EMPOLI 22_2'!$D:$I</definedName>
    <definedName name="_xlnm.Print_Titles" localSheetId="3">'prato 22_2'!$D:$I</definedName>
  </definedNames>
  <calcPr calcId="144525"/>
</workbook>
</file>

<file path=xl/calcChain.xml><?xml version="1.0" encoding="utf-8"?>
<calcChain xmlns="http://schemas.openxmlformats.org/spreadsheetml/2006/main">
  <c r="N29" i="8" l="1"/>
  <c r="L29" i="8"/>
  <c r="BG45" i="8" l="1"/>
  <c r="BF45" i="8"/>
  <c r="BE45" i="8"/>
  <c r="BD45" i="8"/>
  <c r="AY45" i="8"/>
  <c r="AX45" i="8"/>
  <c r="AW45" i="8"/>
  <c r="AU45" i="8"/>
  <c r="AP45" i="8"/>
  <c r="AO45" i="8"/>
  <c r="AN45" i="8"/>
  <c r="AM45" i="8"/>
  <c r="AL45" i="8"/>
  <c r="AK45" i="8"/>
  <c r="AJ45" i="8"/>
  <c r="AI45" i="8"/>
  <c r="AH45" i="8"/>
  <c r="AG45" i="8"/>
  <c r="AF45" i="8"/>
  <c r="AC45" i="8"/>
  <c r="AA45" i="8"/>
  <c r="Z45" i="8"/>
  <c r="U45" i="8"/>
  <c r="T45" i="8"/>
  <c r="S45" i="8"/>
  <c r="R45" i="8"/>
  <c r="Q45" i="8"/>
  <c r="P45" i="8"/>
  <c r="O45" i="8"/>
  <c r="M45" i="8"/>
  <c r="AR43" i="8"/>
  <c r="Y43" i="8"/>
  <c r="X43" i="8"/>
  <c r="Y42" i="8"/>
  <c r="Y41" i="8"/>
  <c r="Y40" i="8"/>
  <c r="Y39" i="8"/>
  <c r="AV38" i="8"/>
  <c r="AR38" i="8"/>
  <c r="Y38" i="8"/>
  <c r="X38" i="8"/>
  <c r="AZ37" i="8"/>
  <c r="AV37" i="8" s="1"/>
  <c r="AQ37" i="8"/>
  <c r="AR37" i="8" s="1"/>
  <c r="Y37" i="8"/>
  <c r="X37" i="8"/>
  <c r="AZ36" i="8"/>
  <c r="AV36" i="8" s="1"/>
  <c r="AR36" i="8"/>
  <c r="AQ36" i="8"/>
  <c r="Y36" i="8"/>
  <c r="X36" i="8"/>
  <c r="BC35" i="8"/>
  <c r="BA35" i="8" s="1"/>
  <c r="AV35" i="8"/>
  <c r="AT35" i="8"/>
  <c r="AR35" i="8"/>
  <c r="AQ35" i="8"/>
  <c r="AB35" i="8"/>
  <c r="Y35" i="8"/>
  <c r="X35" i="8"/>
  <c r="C35" i="8"/>
  <c r="AV34" i="8"/>
  <c r="AR34" i="8"/>
  <c r="Y34" i="8"/>
  <c r="X34" i="8"/>
  <c r="C34" i="8"/>
  <c r="AZ33" i="8"/>
  <c r="AV33" i="8"/>
  <c r="AQ33" i="8"/>
  <c r="AR33" i="8" s="1"/>
  <c r="Y33" i="8"/>
  <c r="X33" i="8"/>
  <c r="C33" i="8"/>
  <c r="BC32" i="8"/>
  <c r="BB32" i="8"/>
  <c r="BB45" i="8" s="1"/>
  <c r="BA32" i="8"/>
  <c r="AZ32" i="8"/>
  <c r="AV32" i="8"/>
  <c r="AT32" i="8"/>
  <c r="AS32" i="8"/>
  <c r="AQ32" i="8"/>
  <c r="AR32" i="8" s="1"/>
  <c r="AB32" i="8"/>
  <c r="Y32" i="8"/>
  <c r="X32" i="8"/>
  <c r="J32" i="8"/>
  <c r="C32" i="8" s="1"/>
  <c r="AV31" i="8"/>
  <c r="AR31" i="8"/>
  <c r="Y31" i="8"/>
  <c r="X31" i="8"/>
  <c r="C31" i="8"/>
  <c r="AV30" i="8"/>
  <c r="AT30" i="8"/>
  <c r="AQ30" i="8"/>
  <c r="AR30" i="8" s="1"/>
  <c r="AD30" i="8"/>
  <c r="AD45" i="8" s="1"/>
  <c r="Y30" i="8"/>
  <c r="X30" i="8"/>
  <c r="C30" i="8"/>
  <c r="AV29" i="8"/>
  <c r="AR29" i="8"/>
  <c r="AQ29" i="8"/>
  <c r="Y29" i="8"/>
  <c r="X29" i="8"/>
  <c r="V29" i="8"/>
  <c r="N45" i="8"/>
  <c r="K29" i="8"/>
  <c r="C29" i="8"/>
  <c r="BC28" i="8"/>
  <c r="BA28" i="8"/>
  <c r="AV28" i="8"/>
  <c r="AT28" i="8"/>
  <c r="AQ28" i="8"/>
  <c r="AR28" i="8" s="1"/>
  <c r="Y28" i="8"/>
  <c r="X28" i="8"/>
  <c r="C28" i="8"/>
  <c r="AV27" i="8"/>
  <c r="AQ27" i="8"/>
  <c r="AR27" i="8" s="1"/>
  <c r="Y27" i="8"/>
  <c r="X27" i="8"/>
  <c r="C27" i="8"/>
  <c r="BA26" i="8"/>
  <c r="AZ26" i="8"/>
  <c r="AV26" i="8"/>
  <c r="AR26" i="8"/>
  <c r="Y26" i="8"/>
  <c r="X26" i="8"/>
  <c r="C26" i="8"/>
  <c r="BC25" i="8"/>
  <c r="BC45" i="8" s="1"/>
  <c r="BA25" i="8"/>
  <c r="AV25" i="8"/>
  <c r="AT25" i="8"/>
  <c r="AQ25" i="8" s="1"/>
  <c r="AR25" i="8" s="1"/>
  <c r="AS25" i="8"/>
  <c r="Y25" i="8"/>
  <c r="X25" i="8"/>
  <c r="W25" i="8"/>
  <c r="W45" i="8" s="1"/>
  <c r="L25" i="8"/>
  <c r="L45" i="8" s="1"/>
  <c r="K25" i="8"/>
  <c r="K45" i="8" s="1"/>
  <c r="J25" i="8"/>
  <c r="C25" i="8"/>
  <c r="AV24" i="8"/>
  <c r="AR24" i="8"/>
  <c r="Y24" i="8"/>
  <c r="X24" i="8"/>
  <c r="C24" i="8"/>
  <c r="AV23" i="8"/>
  <c r="AR23" i="8"/>
  <c r="Y23" i="8"/>
  <c r="X23" i="8"/>
  <c r="C23" i="8"/>
  <c r="AV22" i="8"/>
  <c r="AR22" i="8"/>
  <c r="Y22" i="8"/>
  <c r="X22" i="8"/>
  <c r="C22" i="8"/>
  <c r="AV21" i="8"/>
  <c r="AR21" i="8"/>
  <c r="Y21" i="8"/>
  <c r="X21" i="8"/>
  <c r="C21" i="8"/>
  <c r="AV20" i="8"/>
  <c r="AR20" i="8"/>
  <c r="Y20" i="8"/>
  <c r="X20" i="8"/>
  <c r="C20" i="8"/>
  <c r="AV19" i="8"/>
  <c r="AR19" i="8"/>
  <c r="Y19" i="8"/>
  <c r="X19" i="8"/>
  <c r="C19" i="8"/>
  <c r="AV18" i="8"/>
  <c r="AR18" i="8"/>
  <c r="Y18" i="8"/>
  <c r="X18" i="8"/>
  <c r="C18" i="8"/>
  <c r="AV17" i="8"/>
  <c r="AR17" i="8"/>
  <c r="Y17" i="8"/>
  <c r="X17" i="8"/>
  <c r="J17" i="8"/>
  <c r="C17" i="8" s="1"/>
  <c r="AV16" i="8"/>
  <c r="AR16" i="8"/>
  <c r="Y16" i="8"/>
  <c r="X16" i="8"/>
  <c r="C16" i="8"/>
  <c r="AV15" i="8"/>
  <c r="AR15" i="8"/>
  <c r="Y15" i="8"/>
  <c r="X15" i="8"/>
  <c r="C15" i="8"/>
  <c r="AV14" i="8"/>
  <c r="AR14" i="8"/>
  <c r="Y14" i="8"/>
  <c r="X14" i="8"/>
  <c r="C14" i="8"/>
  <c r="AV13" i="8"/>
  <c r="AT13" i="8"/>
  <c r="AQ13" i="8"/>
  <c r="AR13" i="8" s="1"/>
  <c r="Y13" i="8"/>
  <c r="X13" i="8"/>
  <c r="C13" i="8"/>
  <c r="AV12" i="8"/>
  <c r="AT12" i="8"/>
  <c r="AR12" i="8"/>
  <c r="AQ12" i="8"/>
  <c r="Y12" i="8"/>
  <c r="X12" i="8"/>
  <c r="C12" i="8"/>
  <c r="AV11" i="8"/>
  <c r="AT11" i="8"/>
  <c r="AT45" i="8" s="1"/>
  <c r="AS11" i="8"/>
  <c r="AE11" i="8"/>
  <c r="AE45" i="8" s="1"/>
  <c r="AB11" i="8"/>
  <c r="AB45" i="8" s="1"/>
  <c r="Y11" i="8"/>
  <c r="X11" i="8"/>
  <c r="C11" i="8"/>
  <c r="BA10" i="8"/>
  <c r="BA45" i="8" s="1"/>
  <c r="AZ10" i="8"/>
  <c r="AZ45" i="8" s="1"/>
  <c r="AR10" i="8"/>
  <c r="AQ10" i="8"/>
  <c r="Y10" i="8"/>
  <c r="X10" i="8"/>
  <c r="J10" i="8"/>
  <c r="J45" i="8" s="1"/>
  <c r="AV9" i="8"/>
  <c r="AR9" i="8"/>
  <c r="AQ9" i="8"/>
  <c r="Y9" i="8"/>
  <c r="X9" i="8"/>
  <c r="V9" i="8"/>
  <c r="V45" i="8" s="1"/>
  <c r="C9" i="8"/>
  <c r="AV8" i="8"/>
  <c r="AQ8" i="8"/>
  <c r="AR8" i="8" s="1"/>
  <c r="Y8" i="8"/>
  <c r="X8" i="8"/>
  <c r="C8" i="8"/>
  <c r="AV7" i="8"/>
  <c r="AS7" i="8"/>
  <c r="AS45" i="8" s="1"/>
  <c r="AR7" i="8"/>
  <c r="AR45" i="8" s="1"/>
  <c r="AQ7" i="8"/>
  <c r="Y7" i="8"/>
  <c r="Y45" i="8" s="1"/>
  <c r="X7" i="8"/>
  <c r="X45" i="8" s="1"/>
  <c r="C7" i="8"/>
  <c r="C45" i="8" s="1"/>
  <c r="AV10" i="8" l="1"/>
  <c r="AV45" i="8" s="1"/>
  <c r="AQ11" i="8"/>
  <c r="AR11" i="8" s="1"/>
  <c r="AO63" i="7"/>
  <c r="AQ45" i="8" l="1"/>
  <c r="AP63" i="7"/>
  <c r="AQ63" i="7"/>
  <c r="AR63" i="7"/>
  <c r="AV70" i="7" l="1"/>
  <c r="AJ70" i="7"/>
  <c r="U70" i="7"/>
  <c r="P70" i="7"/>
  <c r="AZ63" i="7"/>
  <c r="AX63" i="7"/>
  <c r="AW63" i="7"/>
  <c r="AU63" i="7"/>
  <c r="AT63" i="7"/>
  <c r="AS63" i="7"/>
  <c r="AN63" i="7"/>
  <c r="AM77" i="7" s="1"/>
  <c r="AM63" i="7"/>
  <c r="AL63" i="7"/>
  <c r="AL65" i="7" s="1"/>
  <c r="AK63" i="7"/>
  <c r="AJ63" i="7"/>
  <c r="AF63" i="7"/>
  <c r="AE63" i="7"/>
  <c r="AD63" i="7"/>
  <c r="AC63" i="7"/>
  <c r="AA63" i="7"/>
  <c r="Z63" i="7"/>
  <c r="W63" i="7"/>
  <c r="U63" i="7"/>
  <c r="T63" i="7"/>
  <c r="S63" i="7"/>
  <c r="R63" i="7"/>
  <c r="Q63" i="7"/>
  <c r="P63" i="7"/>
  <c r="Y62" i="7"/>
  <c r="X62" i="7"/>
  <c r="Y61" i="7"/>
  <c r="X61" i="7"/>
  <c r="Y60" i="7"/>
  <c r="X60" i="7"/>
  <c r="AY59" i="7"/>
  <c r="Y59" i="7"/>
  <c r="X59" i="7"/>
  <c r="J59" i="7"/>
  <c r="BB58" i="7"/>
  <c r="Y57" i="7"/>
  <c r="X57" i="7"/>
  <c r="C57" i="7"/>
  <c r="AY56" i="7"/>
  <c r="Y56" i="7"/>
  <c r="X56" i="7"/>
  <c r="M56" i="7"/>
  <c r="L56" i="7"/>
  <c r="C56" i="7"/>
  <c r="Y55" i="7"/>
  <c r="X55" i="7"/>
  <c r="M55" i="7"/>
  <c r="L55" i="7"/>
  <c r="C55" i="7"/>
  <c r="Y54" i="7"/>
  <c r="X54" i="7"/>
  <c r="J54" i="7"/>
  <c r="C54" i="7"/>
  <c r="Y53" i="7"/>
  <c r="X53" i="7"/>
  <c r="C53" i="7"/>
  <c r="Y52" i="7"/>
  <c r="X52" i="7"/>
  <c r="N52" i="7"/>
  <c r="M52" i="7"/>
  <c r="L52" i="7"/>
  <c r="J52" i="7"/>
  <c r="AY51" i="7"/>
  <c r="AB51" i="7"/>
  <c r="AB63" i="7" s="1"/>
  <c r="Y51" i="7"/>
  <c r="X51" i="7"/>
  <c r="J51" i="7"/>
  <c r="Y50" i="7"/>
  <c r="X50" i="7"/>
  <c r="J50" i="7"/>
  <c r="AY49" i="7"/>
  <c r="Y49" i="7"/>
  <c r="X49" i="7"/>
  <c r="O49" i="7"/>
  <c r="O63" i="7" s="1"/>
  <c r="M49" i="7"/>
  <c r="L49" i="7"/>
  <c r="J49" i="7"/>
  <c r="Y48" i="7"/>
  <c r="X48" i="7"/>
  <c r="C48" i="7"/>
  <c r="AI47" i="7"/>
  <c r="Y47" i="7"/>
  <c r="X47" i="7"/>
  <c r="M47" i="7"/>
  <c r="L47" i="7"/>
  <c r="J47" i="7"/>
  <c r="Y46" i="7"/>
  <c r="X46" i="7"/>
  <c r="J46" i="7"/>
  <c r="Y45" i="7"/>
  <c r="X45" i="7"/>
  <c r="C45" i="7"/>
  <c r="AV44" i="7"/>
  <c r="AG44" i="7"/>
  <c r="Y44" i="7" s="1"/>
  <c r="X44" i="7"/>
  <c r="N44" i="7"/>
  <c r="N63" i="7" s="1"/>
  <c r="M44" i="7"/>
  <c r="L44" i="7"/>
  <c r="J44" i="7"/>
  <c r="C44" i="7" s="1"/>
  <c r="Y43" i="7"/>
  <c r="X43" i="7"/>
  <c r="J43" i="7"/>
  <c r="C43" i="7" s="1"/>
  <c r="Y42" i="7"/>
  <c r="X42" i="7"/>
  <c r="M42" i="7"/>
  <c r="L42" i="7"/>
  <c r="C42" i="7"/>
  <c r="AY41" i="7"/>
  <c r="Y41" i="7"/>
  <c r="X41" i="7"/>
  <c r="K41" i="7"/>
  <c r="K63" i="7" s="1"/>
  <c r="J41" i="7"/>
  <c r="Y40" i="7"/>
  <c r="X40" i="7"/>
  <c r="C40" i="7"/>
  <c r="Y39" i="7"/>
  <c r="X39" i="7"/>
  <c r="C39" i="7"/>
  <c r="Y38" i="7"/>
  <c r="X38" i="7"/>
  <c r="C38" i="7"/>
  <c r="Y37" i="7"/>
  <c r="X37" i="7"/>
  <c r="C37" i="7"/>
  <c r="Y36" i="7"/>
  <c r="X36" i="7"/>
  <c r="C36" i="7"/>
  <c r="Y35" i="7"/>
  <c r="X35" i="7"/>
  <c r="L35" i="7"/>
  <c r="C35" i="7"/>
  <c r="Y34" i="7"/>
  <c r="X34" i="7"/>
  <c r="M34" i="7"/>
  <c r="L34" i="7"/>
  <c r="C34" i="7"/>
  <c r="AI33" i="7"/>
  <c r="AI63" i="7" s="1"/>
  <c r="X33" i="7"/>
  <c r="J33" i="7"/>
  <c r="C33" i="7" s="1"/>
  <c r="AV32" i="7"/>
  <c r="AV63" i="7" s="1"/>
  <c r="Y32" i="7"/>
  <c r="X32" i="7"/>
  <c r="J32" i="7"/>
  <c r="Y31" i="7"/>
  <c r="X31" i="7"/>
  <c r="J31" i="7"/>
  <c r="Y30" i="7"/>
  <c r="X30" i="7"/>
  <c r="C30" i="7"/>
  <c r="AY29" i="7"/>
  <c r="Y29" i="7"/>
  <c r="X29" i="7"/>
  <c r="J29" i="7"/>
  <c r="C29" i="7"/>
  <c r="AG28" i="7"/>
  <c r="Y28" i="7"/>
  <c r="X28" i="7"/>
  <c r="J28" i="7"/>
  <c r="AH27" i="7"/>
  <c r="AH63" i="7" s="1"/>
  <c r="X27" i="7"/>
  <c r="M27" i="7"/>
  <c r="L27" i="7"/>
  <c r="C27" i="7"/>
  <c r="Y26" i="7"/>
  <c r="X26" i="7"/>
  <c r="C26" i="7"/>
  <c r="Y25" i="7"/>
  <c r="X25" i="7"/>
  <c r="C25" i="7"/>
  <c r="AY24" i="7"/>
  <c r="AY63" i="7" s="1"/>
  <c r="Y24" i="7"/>
  <c r="X24" i="7"/>
  <c r="M24" i="7"/>
  <c r="L24" i="7"/>
  <c r="C24" i="7"/>
  <c r="Y23" i="7"/>
  <c r="X23" i="7"/>
  <c r="M23" i="7"/>
  <c r="M63" i="7" s="1"/>
  <c r="J23" i="7"/>
  <c r="C23" i="7"/>
  <c r="Y22" i="7"/>
  <c r="X22" i="7"/>
  <c r="BB22" i="7" s="1"/>
  <c r="BC22" i="7" s="1"/>
  <c r="C22" i="7"/>
  <c r="Y21" i="7"/>
  <c r="X21" i="7"/>
  <c r="C21" i="7"/>
  <c r="Y20" i="7"/>
  <c r="X20" i="7"/>
  <c r="BB20" i="7" s="1"/>
  <c r="BC20" i="7" s="1"/>
  <c r="C20" i="7"/>
  <c r="Y19" i="7"/>
  <c r="X19" i="7"/>
  <c r="J19" i="7"/>
  <c r="C19" i="7" s="1"/>
  <c r="Y18" i="7"/>
  <c r="X18" i="7"/>
  <c r="J18" i="7"/>
  <c r="C18" i="7" s="1"/>
  <c r="Y17" i="7"/>
  <c r="X17" i="7"/>
  <c r="V17" i="7"/>
  <c r="V63" i="7" s="1"/>
  <c r="L17" i="7"/>
  <c r="C17" i="7"/>
  <c r="Y16" i="7"/>
  <c r="X16" i="7"/>
  <c r="BB16" i="7" s="1"/>
  <c r="BC16" i="7" s="1"/>
  <c r="C16" i="7"/>
  <c r="Y15" i="7"/>
  <c r="X15" i="7"/>
  <c r="C15" i="7"/>
  <c r="Y14" i="7"/>
  <c r="X14" i="7"/>
  <c r="C14" i="7"/>
  <c r="Y13" i="7"/>
  <c r="X13" i="7"/>
  <c r="C13" i="7"/>
  <c r="Y12" i="7"/>
  <c r="X12" i="7"/>
  <c r="J12" i="7"/>
  <c r="Y11" i="7"/>
  <c r="X11" i="7"/>
  <c r="L11" i="7"/>
  <c r="L63" i="7" s="1"/>
  <c r="C11" i="7"/>
  <c r="C63" i="7" s="1"/>
  <c r="BB29" i="7" l="1"/>
  <c r="AG63" i="7"/>
  <c r="BB12" i="7"/>
  <c r="BB14" i="7"/>
  <c r="BC14" i="7" s="1"/>
  <c r="BB25" i="7"/>
  <c r="BC25" i="7" s="1"/>
  <c r="BB28" i="7"/>
  <c r="C31" i="7"/>
  <c r="BB31" i="7"/>
  <c r="BC31" i="7" s="1"/>
  <c r="X63" i="7"/>
  <c r="BB11" i="7"/>
  <c r="J63" i="7"/>
  <c r="K65" i="7" s="1"/>
  <c r="BC12" i="7"/>
  <c r="BB13" i="7"/>
  <c r="BC13" i="7" s="1"/>
  <c r="BB15" i="7"/>
  <c r="BC15" i="7" s="1"/>
  <c r="BB17" i="7"/>
  <c r="BC17" i="7" s="1"/>
  <c r="BB18" i="7"/>
  <c r="BC18" i="7" s="1"/>
  <c r="BB19" i="7"/>
  <c r="BC19" i="7" s="1"/>
  <c r="BB21" i="7"/>
  <c r="BC21" i="7" s="1"/>
  <c r="BB23" i="7"/>
  <c r="BC23" i="7" s="1"/>
  <c r="BB24" i="7"/>
  <c r="BC24" i="7" s="1"/>
  <c r="BB26" i="7"/>
  <c r="BC26" i="7" s="1"/>
  <c r="Y27" i="7"/>
  <c r="C28" i="7"/>
  <c r="BC28" i="7"/>
  <c r="BC29" i="7"/>
  <c r="BB30" i="7"/>
  <c r="BC30" i="7" s="1"/>
  <c r="C32" i="7"/>
  <c r="Y33" i="7"/>
  <c r="BB36" i="7"/>
  <c r="BC36" i="7" s="1"/>
  <c r="BB38" i="7"/>
  <c r="BC38" i="7" s="1"/>
  <c r="BB40" i="7"/>
  <c r="BC40" i="7" s="1"/>
  <c r="C41" i="7"/>
  <c r="BB41" i="7"/>
  <c r="BB44" i="7"/>
  <c r="BB46" i="7"/>
  <c r="C47" i="7"/>
  <c r="BB48" i="7"/>
  <c r="BC48" i="7" s="1"/>
  <c r="C49" i="7"/>
  <c r="BB49" i="7"/>
  <c r="C50" i="7"/>
  <c r="BB50" i="7"/>
  <c r="C51" i="7"/>
  <c r="BB51" i="7"/>
  <c r="C52" i="7"/>
  <c r="BB52" i="7"/>
  <c r="BB55" i="7"/>
  <c r="BC55" i="7" s="1"/>
  <c r="BB56" i="7"/>
  <c r="BC56" i="7" s="1"/>
  <c r="BB59" i="7"/>
  <c r="BC59" i="7" s="1"/>
  <c r="BB60" i="7"/>
  <c r="BB32" i="7"/>
  <c r="BC32" i="7" s="1"/>
  <c r="BB34" i="7"/>
  <c r="BC34" i="7" s="1"/>
  <c r="BB35" i="7"/>
  <c r="BC35" i="7" s="1"/>
  <c r="BB37" i="7"/>
  <c r="BC37" i="7" s="1"/>
  <c r="BB39" i="7"/>
  <c r="BC39" i="7" s="1"/>
  <c r="BC41" i="7"/>
  <c r="BB42" i="7"/>
  <c r="BC42" i="7" s="1"/>
  <c r="BB43" i="7"/>
  <c r="BC43" i="7" s="1"/>
  <c r="BC44" i="7"/>
  <c r="BB45" i="7"/>
  <c r="BC45" i="7" s="1"/>
  <c r="BC46" i="7"/>
  <c r="BB47" i="7"/>
  <c r="BC47" i="7" s="1"/>
  <c r="BC49" i="7"/>
  <c r="BC50" i="7"/>
  <c r="BC51" i="7"/>
  <c r="BC52" i="7"/>
  <c r="BB53" i="7"/>
  <c r="BC53" i="7" s="1"/>
  <c r="BB54" i="7"/>
  <c r="BC54" i="7" s="1"/>
  <c r="BB57" i="7"/>
  <c r="BC57" i="7" s="1"/>
  <c r="BB61" i="7"/>
  <c r="BC61" i="7" s="1"/>
  <c r="BB63" i="7" l="1"/>
  <c r="BC11" i="7"/>
  <c r="BC63" i="7" s="1"/>
  <c r="BB33" i="7"/>
  <c r="BC33" i="7" s="1"/>
  <c r="BB27" i="7"/>
  <c r="BC27" i="7" s="1"/>
  <c r="Y63" i="7"/>
  <c r="E17" i="2" l="1"/>
  <c r="E11" i="2"/>
  <c r="E12" i="2"/>
  <c r="E13" i="2"/>
  <c r="E14" i="2"/>
  <c r="E15" i="2"/>
  <c r="E16" i="2"/>
  <c r="E10" i="2"/>
  <c r="C17" i="2"/>
  <c r="D17" i="2"/>
  <c r="B17" i="2"/>
  <c r="E8" i="2"/>
  <c r="E6" i="2"/>
  <c r="E7" i="2"/>
  <c r="E5" i="2"/>
  <c r="C8" i="2"/>
  <c r="D8" i="2"/>
  <c r="B8" i="2"/>
  <c r="AM51" i="6" l="1"/>
  <c r="AN51" i="6"/>
  <c r="AO51" i="6"/>
  <c r="AA8" i="1"/>
  <c r="AB5" i="1"/>
  <c r="AB6" i="1"/>
  <c r="AB4" i="1"/>
  <c r="T13" i="1"/>
  <c r="U13" i="1"/>
  <c r="V13" i="1"/>
  <c r="W13" i="1"/>
  <c r="V7" i="1" l="1"/>
  <c r="P7" i="1"/>
  <c r="AB7" i="1" s="1"/>
  <c r="AB8" i="1" s="1"/>
  <c r="Z8" i="1" l="1"/>
  <c r="Y8" i="1"/>
  <c r="X8" i="1"/>
  <c r="W8" i="1"/>
  <c r="W28" i="1" s="1"/>
  <c r="V8" i="1"/>
  <c r="V28" i="1" s="1"/>
  <c r="U8" i="1"/>
  <c r="U28" i="1" s="1"/>
  <c r="T8" i="1"/>
  <c r="T28" i="1" s="1"/>
  <c r="R8" i="1"/>
  <c r="S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AB9" i="1" l="1"/>
  <c r="AB10" i="1"/>
  <c r="AB11" i="1"/>
  <c r="AB12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S13" i="1"/>
  <c r="S28" i="1" s="1"/>
  <c r="BA14" i="5"/>
  <c r="BA15" i="5"/>
  <c r="BA16" i="5"/>
  <c r="BA17" i="5"/>
  <c r="BA18" i="5"/>
  <c r="BA19" i="5"/>
  <c r="BA20" i="5"/>
  <c r="BA21" i="5"/>
  <c r="BA22" i="5"/>
  <c r="BA23" i="5"/>
  <c r="BA24" i="5"/>
  <c r="BA25" i="5"/>
  <c r="BA26" i="5"/>
  <c r="BA27" i="5"/>
  <c r="BA28" i="5"/>
  <c r="BA29" i="5"/>
  <c r="BA30" i="5"/>
  <c r="BA31" i="5"/>
  <c r="BA32" i="5"/>
  <c r="BA33" i="5"/>
  <c r="BA34" i="5"/>
  <c r="BA39" i="5"/>
  <c r="BA12" i="5"/>
  <c r="BB51" i="6"/>
  <c r="BA51" i="6"/>
  <c r="AZ51" i="6"/>
  <c r="AX51" i="6"/>
  <c r="AW51" i="6"/>
  <c r="AV51" i="6"/>
  <c r="AU51" i="6"/>
  <c r="AT51" i="6"/>
  <c r="AL51" i="6"/>
  <c r="AI51" i="6"/>
  <c r="AH51" i="6"/>
  <c r="AG51" i="6"/>
  <c r="AF51" i="6"/>
  <c r="AE51" i="6"/>
  <c r="AD51" i="6"/>
  <c r="AC51" i="6"/>
  <c r="AA51" i="6"/>
  <c r="Y51" i="6"/>
  <c r="X51" i="6"/>
  <c r="W51" i="6"/>
  <c r="V51" i="6"/>
  <c r="U51" i="6"/>
  <c r="T51" i="6"/>
  <c r="S51" i="6"/>
  <c r="Q51" i="6"/>
  <c r="P51" i="6"/>
  <c r="N51" i="6"/>
  <c r="M51" i="6"/>
  <c r="Z47" i="6"/>
  <c r="R45" i="6"/>
  <c r="R51" i="6" s="1"/>
  <c r="AQ42" i="6"/>
  <c r="AR41" i="6"/>
  <c r="C41" i="6"/>
  <c r="AB40" i="6"/>
  <c r="AB51" i="6" s="1"/>
  <c r="O40" i="6"/>
  <c r="C40" i="6"/>
  <c r="AR39" i="6"/>
  <c r="AR51" i="6" s="1"/>
  <c r="O39" i="6"/>
  <c r="O51" i="6" s="1"/>
  <c r="C39" i="6"/>
  <c r="C38" i="6"/>
  <c r="C37" i="6"/>
  <c r="C36" i="6"/>
  <c r="L35" i="6"/>
  <c r="L51" i="6" s="1"/>
  <c r="K35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AK18" i="6"/>
  <c r="AK51" i="6" s="1"/>
  <c r="C18" i="6"/>
  <c r="K17" i="6"/>
  <c r="C17" i="6"/>
  <c r="K16" i="6"/>
  <c r="K51" i="6" s="1"/>
  <c r="C16" i="6"/>
  <c r="C15" i="6"/>
  <c r="C14" i="6"/>
  <c r="AQ13" i="6"/>
  <c r="AP13" i="6"/>
  <c r="AP51" i="6" s="1"/>
  <c r="J13" i="6"/>
  <c r="C13" i="6" s="1"/>
  <c r="AJ12" i="6"/>
  <c r="AJ51" i="6" s="1"/>
  <c r="C11" i="6"/>
  <c r="AQ10" i="6"/>
  <c r="AQ51" i="6" s="1"/>
  <c r="Z10" i="6"/>
  <c r="C10" i="6"/>
  <c r="C51" i="6" s="1"/>
  <c r="C52" i="5"/>
  <c r="C51" i="5"/>
  <c r="C50" i="5"/>
  <c r="C49" i="5"/>
  <c r="C48" i="5"/>
  <c r="C47" i="5"/>
  <c r="C46" i="5"/>
  <c r="C45" i="5"/>
  <c r="C44" i="5"/>
  <c r="AZ40" i="5"/>
  <c r="AY40" i="5"/>
  <c r="AX40" i="5"/>
  <c r="AV40" i="5"/>
  <c r="AU40" i="5"/>
  <c r="AT40" i="5"/>
  <c r="AS40" i="5"/>
  <c r="AR40" i="5"/>
  <c r="AQ40" i="5"/>
  <c r="AP40" i="5"/>
  <c r="AN40" i="5"/>
  <c r="AM40" i="5"/>
  <c r="AL40" i="5"/>
  <c r="AK40" i="5"/>
  <c r="AJ40" i="5"/>
  <c r="AI40" i="5"/>
  <c r="AH40" i="5"/>
  <c r="AG40" i="5"/>
  <c r="AF40" i="5"/>
  <c r="AE40" i="5"/>
  <c r="AD40" i="5"/>
  <c r="AC40" i="5"/>
  <c r="AB40" i="5"/>
  <c r="AA40" i="5"/>
  <c r="Z40" i="5"/>
  <c r="X40" i="5"/>
  <c r="W40" i="5"/>
  <c r="V40" i="5"/>
  <c r="U40" i="5"/>
  <c r="T40" i="5"/>
  <c r="S40" i="5"/>
  <c r="R40" i="5"/>
  <c r="Q40" i="5"/>
  <c r="P40" i="5"/>
  <c r="O40" i="5"/>
  <c r="N40" i="5"/>
  <c r="K40" i="5"/>
  <c r="J40" i="5"/>
  <c r="AO38" i="5"/>
  <c r="Y38" i="5"/>
  <c r="AO37" i="5"/>
  <c r="Y37" i="5"/>
  <c r="BA37" i="5" s="1"/>
  <c r="AO36" i="5"/>
  <c r="Y36" i="5"/>
  <c r="BA36" i="5" s="1"/>
  <c r="AO35" i="5"/>
  <c r="AO40" i="5" s="1"/>
  <c r="Y35" i="5"/>
  <c r="Y40" i="5" s="1"/>
  <c r="M33" i="5"/>
  <c r="L33" i="5"/>
  <c r="C26" i="5"/>
  <c r="C25" i="5"/>
  <c r="C24" i="5"/>
  <c r="C22" i="5"/>
  <c r="C21" i="5"/>
  <c r="C20" i="5"/>
  <c r="C19" i="5"/>
  <c r="C18" i="5"/>
  <c r="C17" i="5"/>
  <c r="M15" i="5"/>
  <c r="M40" i="5" s="1"/>
  <c r="L15" i="5"/>
  <c r="C15" i="5"/>
  <c r="AW13" i="5"/>
  <c r="AW40" i="5" s="1"/>
  <c r="C13" i="5"/>
  <c r="C12" i="5"/>
  <c r="C40" i="5" s="1"/>
  <c r="L40" i="5" l="1"/>
  <c r="BA38" i="5"/>
  <c r="Z51" i="6"/>
  <c r="Z40" i="6"/>
  <c r="BA35" i="5"/>
  <c r="BA13" i="5"/>
  <c r="BA40" i="5" s="1"/>
  <c r="J51" i="6"/>
  <c r="AA13" i="1" l="1"/>
  <c r="Z13" i="1"/>
  <c r="Z28" i="1" s="1"/>
  <c r="Y13" i="1"/>
  <c r="Y28" i="1" s="1"/>
  <c r="X13" i="1"/>
  <c r="X28" i="1" s="1"/>
  <c r="R13" i="1"/>
  <c r="R28" i="1" s="1"/>
  <c r="Q13" i="1"/>
  <c r="Q28" i="1" s="1"/>
  <c r="P13" i="1"/>
  <c r="P28" i="1" s="1"/>
  <c r="O13" i="1"/>
  <c r="O28" i="1" s="1"/>
  <c r="N13" i="1"/>
  <c r="N28" i="1" s="1"/>
  <c r="M13" i="1"/>
  <c r="M28" i="1" s="1"/>
  <c r="L13" i="1"/>
  <c r="L28" i="1" s="1"/>
  <c r="K13" i="1"/>
  <c r="K28" i="1" s="1"/>
  <c r="J13" i="1"/>
  <c r="J28" i="1" s="1"/>
  <c r="I13" i="1"/>
  <c r="I28" i="1" s="1"/>
  <c r="H13" i="1"/>
  <c r="H28" i="1" s="1"/>
  <c r="G13" i="1"/>
  <c r="G28" i="1" s="1"/>
  <c r="F13" i="1"/>
  <c r="F28" i="1" s="1"/>
  <c r="E13" i="1"/>
  <c r="E28" i="1" s="1"/>
  <c r="D13" i="1"/>
  <c r="D28" i="1" s="1"/>
  <c r="C13" i="1"/>
  <c r="AA28" i="1"/>
  <c r="C8" i="1"/>
  <c r="AB13" i="1" l="1"/>
  <c r="C28" i="1"/>
  <c r="AB28" i="1"/>
</calcChain>
</file>

<file path=xl/sharedStrings.xml><?xml version="1.0" encoding="utf-8"?>
<sst xmlns="http://schemas.openxmlformats.org/spreadsheetml/2006/main" count="912" uniqueCount="561">
  <si>
    <t>Piano Investimenti Aziendale Analitico 2018-2020</t>
  </si>
  <si>
    <t>PREVISIONE FLUSSI</t>
  </si>
  <si>
    <t>FINANZIAMENTI STATALI IN C/CAPITALE</t>
  </si>
  <si>
    <t>FINANZIAMENTI REGIONALI IN C/CAPITALE</t>
  </si>
  <si>
    <t>FINANZIAMENTI AZIENDALI</t>
  </si>
  <si>
    <t>descrizione intervento</t>
  </si>
  <si>
    <t>costo complessivo</t>
  </si>
  <si>
    <t>Spesa effettiva al 31/12/2017</t>
  </si>
  <si>
    <t>flussi 2018</t>
  </si>
  <si>
    <t>flussi 2019</t>
  </si>
  <si>
    <t>flussi 2020</t>
  </si>
  <si>
    <t>flussi oltre 2020</t>
  </si>
  <si>
    <t>Accordo di programma 16/04/2009 
(art. 20/2007)</t>
  </si>
  <si>
    <t>Accordo di Programma 08/03/2013
(art. 20/2008)</t>
  </si>
  <si>
    <t>Altri finanziamenti Stato</t>
  </si>
  <si>
    <t>Finanziamenti Regionali
DGR 648/2008</t>
  </si>
  <si>
    <t>Finanziamenti Regionali
DGR 802/2008</t>
  </si>
  <si>
    <t>Finanziamenti Regionali 2011-2013
(LR 65/2010)</t>
  </si>
  <si>
    <t xml:space="preserve">Finanziamenti Regionali 2014-2015
</t>
  </si>
  <si>
    <t>Altri finanziamenti Regionali</t>
  </si>
  <si>
    <t>Autofinanziamento Anni Precedenti</t>
  </si>
  <si>
    <t>Autofinanziamento Previsto
2018-2020</t>
  </si>
  <si>
    <t xml:space="preserve">Mutui da contrarre Gara già richiesta ad Estar </t>
  </si>
  <si>
    <t>Mutui da contrarre</t>
  </si>
  <si>
    <t>Alienazioni / Fondo Anticipazioni</t>
  </si>
  <si>
    <t>Altri 
finanziamenti Aziendali</t>
  </si>
  <si>
    <t>Altri finanziamenti 
(comprensivi di eventuale contributo privato)</t>
  </si>
  <si>
    <t>Fabbisogno non coperto (dal 2019)</t>
  </si>
  <si>
    <t>NOTE</t>
  </si>
  <si>
    <t>EMPOLI</t>
  </si>
  <si>
    <t>PISTOIA</t>
  </si>
  <si>
    <t>PRATO</t>
  </si>
  <si>
    <t>SPESO AL 31/12/2016</t>
  </si>
  <si>
    <t>Tecnologie Informatiche</t>
  </si>
  <si>
    <t xml:space="preserve">Tecnologie Sanitarie </t>
  </si>
  <si>
    <t>Economali</t>
  </si>
  <si>
    <t>AL 31/12/2017</t>
  </si>
  <si>
    <t>TECNOLOGIE SANITARIE</t>
  </si>
  <si>
    <t>Piano investimenti ordinario Tecnologie Sanitarie</t>
  </si>
  <si>
    <t>TECNOLOGIE INFORMATICHE</t>
  </si>
  <si>
    <t>Piano Ordinario Tecnologie e Sistemi Informatici</t>
  </si>
  <si>
    <t>ECONOMALI</t>
  </si>
  <si>
    <t>Acquisizione ausili</t>
  </si>
  <si>
    <t>Acquisizione arredi ed attrezzature non elettromedicali (compresi automezzi e condizionatori)</t>
  </si>
  <si>
    <t>Piano Investimenti Aziendale Sintetico 2018-2020</t>
  </si>
  <si>
    <t>Azienda: Azienda Usl Toscana Centro</t>
  </si>
  <si>
    <t>▪         INVESTIMENTI</t>
  </si>
  <si>
    <t>Totale</t>
  </si>
  <si>
    <t>a.    Fabbricati;</t>
  </si>
  <si>
    <t>b.    Attrezzature sanitarie;</t>
  </si>
  <si>
    <t>c.    Altri beni (mobili, arredi, HW, SW , automezzi etc)</t>
  </si>
  <si>
    <t>a.    Autofinanziamento;</t>
  </si>
  <si>
    <t>b.    Mutui;</t>
  </si>
  <si>
    <t>c.    Contributi Stato;</t>
  </si>
  <si>
    <t>d.    Contributi Regione;</t>
  </si>
  <si>
    <t>e.    Altri contributi;</t>
  </si>
  <si>
    <t>f.     Alienazioni;</t>
  </si>
  <si>
    <t>g.    Fabbisogno non coperto.</t>
  </si>
  <si>
    <t xml:space="preserve"> </t>
  </si>
  <si>
    <t>differenza importi con 2016</t>
  </si>
  <si>
    <t>Codifica regionale</t>
  </si>
  <si>
    <t>Codice P.O.</t>
  </si>
  <si>
    <t>Codice CUP</t>
  </si>
  <si>
    <t>Codifica Tipologia Intervento [vedi Legenda]</t>
  </si>
  <si>
    <t>Descrizione intervento</t>
  </si>
  <si>
    <t>Costo complessivo</t>
  </si>
  <si>
    <t>Spesa al 31-12-2017</t>
  </si>
  <si>
    <t>Previsione Flussi</t>
  </si>
  <si>
    <t>FINANZIAMENTI STATALI IN CONTO CAPITALE</t>
  </si>
  <si>
    <t>FINANZIAMENTI REGIONALI IN CONTO CAPITALE</t>
  </si>
  <si>
    <t>Finanziamenti Aziendali</t>
  </si>
  <si>
    <t>Fabbisogno non coperto (oltre il 2019)</t>
  </si>
  <si>
    <t>Altri finanziamenti Statali</t>
  </si>
  <si>
    <t>Alienazioni - Fondi Anticipazioni</t>
  </si>
  <si>
    <t>Altri finanziamenti Aziendali</t>
  </si>
  <si>
    <t>Flussi 2018</t>
  </si>
  <si>
    <t>Flussi 2019</t>
  </si>
  <si>
    <t>Flussi 2020</t>
  </si>
  <si>
    <t>Flussi oltre 2020</t>
  </si>
  <si>
    <t>Accordo di Programma 16-04-2009 (art.20/2007)</t>
  </si>
  <si>
    <t>Accordo di Programma 08-03-2013 (art.20/2008)</t>
  </si>
  <si>
    <t>Altri finanziamenti Statali (totale)</t>
  </si>
  <si>
    <t>Case della Salute, L.244/2007, D.5133 del 14-11-2012</t>
  </si>
  <si>
    <t>Altri finanziamenti dello Stato</t>
  </si>
  <si>
    <t>Finanziamenti Regionali DGR 648/2008</t>
  </si>
  <si>
    <t>Finanziamenti Regionali DGR 802/2009</t>
  </si>
  <si>
    <t>Finanziamenti Regionali 2011-2013 (L.65/2010)</t>
  </si>
  <si>
    <t>Altri finanziamenti Regionali (totale)</t>
  </si>
  <si>
    <t>Decr. 6728/2015 - DGR 1172/2014 e dd 6583/2014</t>
  </si>
  <si>
    <t>Programma Operativo Regionale FESR 2014/2020</t>
  </si>
  <si>
    <t>DGRT 1272/2014</t>
  </si>
  <si>
    <t>Case della Salute, L.244/2007, DDRT 1846 del 14-05-2013</t>
  </si>
  <si>
    <t>Case della Salute, DGRT 47/2013, DGRT 334/2013</t>
  </si>
  <si>
    <t>Case della Salute, DGRT 334/2014, DDRT 6146/2013</t>
  </si>
  <si>
    <t>Finanziamenti Regionali DGR 1169/2015</t>
  </si>
  <si>
    <t>Residuo vecchi finanziamenti regionali (ex-ASF)</t>
  </si>
  <si>
    <t>DGRT n.461, 17/05/2016</t>
  </si>
  <si>
    <t>Finanziamenti Regionali Case della Salute (ex-ASF)</t>
  </si>
  <si>
    <t>Mutui Contratti anni precedenti al 2016</t>
  </si>
  <si>
    <t>Mutui da contrarre causa revoca finanziamenti Regionali</t>
  </si>
  <si>
    <t xml:space="preserve">ALIENAZIONI   </t>
  </si>
  <si>
    <t>Altri finanziamenti Aziendali (totale)</t>
  </si>
  <si>
    <t>Proventi tesoreria</t>
  </si>
  <si>
    <t>Risorse proprie di bilancio (libera professione)</t>
  </si>
  <si>
    <t>Finanziamenti da privati</t>
  </si>
  <si>
    <t>Altri enti</t>
  </si>
  <si>
    <t>LAVORI</t>
  </si>
  <si>
    <t>Fondo rotazione 1</t>
  </si>
  <si>
    <t>Fondo rotazione 2</t>
  </si>
  <si>
    <t>EM-1</t>
  </si>
  <si>
    <t>11.PN01.932</t>
  </si>
  <si>
    <t>G39H09000240002  G23J11000440002</t>
  </si>
  <si>
    <t>LAV</t>
  </si>
  <si>
    <t>Nuovo distretto e Casa della Salute a S.Croce</t>
  </si>
  <si>
    <t>EM-2</t>
  </si>
  <si>
    <t>Realizzazione REMS nell'ex carcere mandamentale di Empoli</t>
  </si>
  <si>
    <t>EM-3</t>
  </si>
  <si>
    <t>11.PN01.930</t>
  </si>
  <si>
    <t>G33B09000270003</t>
  </si>
  <si>
    <t>PO Fucecchio - Riorganizzazione funzionale - Fase 1</t>
  </si>
  <si>
    <t>EM-4</t>
  </si>
  <si>
    <t>11.TR06.934</t>
  </si>
  <si>
    <t>G33B09000290003</t>
  </si>
  <si>
    <t xml:space="preserve">Ampliamento e ristrutturazione P.O. Castelfiorentino - 
 Fase 2 </t>
  </si>
  <si>
    <t>EM-5</t>
  </si>
  <si>
    <t>Realizzazione Casa della Salute a Vinci</t>
  </si>
  <si>
    <t>EM-6</t>
  </si>
  <si>
    <t>G23J11000440002</t>
  </si>
  <si>
    <t>Realizzazione Casa della Salute a Castelfranco di Sotto</t>
  </si>
  <si>
    <t>EM-7</t>
  </si>
  <si>
    <t>G23J11000440002  G23J13000370002</t>
  </si>
  <si>
    <t>Realizzazione Casa della Salute a Montespertoli</t>
  </si>
  <si>
    <t>EM-8</t>
  </si>
  <si>
    <t>Realizzazione Casa della Salute a Montelupo F.no</t>
  </si>
  <si>
    <t>EM-9</t>
  </si>
  <si>
    <t>Realizzazione Casa della Salute a Limite S/A</t>
  </si>
  <si>
    <t>EM-10</t>
  </si>
  <si>
    <t>Realizzazione Casa della Salute a Castelfiorentino</t>
  </si>
  <si>
    <t>EM-11</t>
  </si>
  <si>
    <t>Realizzazione Casa della Salute a Galleno</t>
  </si>
  <si>
    <t>EM-12</t>
  </si>
  <si>
    <t>Realizzazione Casa della Salute a Gambassi Terme</t>
  </si>
  <si>
    <t>EM-13</t>
  </si>
  <si>
    <t>Realizzazione Casa della Salute a Montaione</t>
  </si>
  <si>
    <t>EM-14</t>
  </si>
  <si>
    <t>Realizzazione Casa della Salute Fucecchio</t>
  </si>
  <si>
    <t>EM-15</t>
  </si>
  <si>
    <t>Realizzazione Casa della Salute a S.Miniato Basso</t>
  </si>
  <si>
    <t>EM-16</t>
  </si>
  <si>
    <t>Realizzazione Casa della Salute a Empoli Ovest</t>
  </si>
  <si>
    <t>EM-17</t>
  </si>
  <si>
    <t>Realizzazione Casa della Salute a Cerreto Guidi</t>
  </si>
  <si>
    <t>EM-18</t>
  </si>
  <si>
    <t>Realizzazione Casa della Salute a Montopoli V/A</t>
  </si>
  <si>
    <t>EM-19</t>
  </si>
  <si>
    <t>G75D09000130007</t>
  </si>
  <si>
    <t>Ospedale S. Giuseppe Empoli - interventi 2a fase - lotto 1: lavori in concessione (project financing)</t>
  </si>
  <si>
    <t>EM-20</t>
  </si>
  <si>
    <t>Ospedale S. Giuseppe Empoli - interventi 2a fase - lotto 2: ristrutturazione interna edificio H</t>
  </si>
  <si>
    <t>EM-21</t>
  </si>
  <si>
    <t>ANT</t>
  </si>
  <si>
    <t>Piano di adeguamento prevenzione incendi. Adeguamento strutture ospedaliere/residenziali [escluso p.o. Empoli]</t>
  </si>
  <si>
    <t>EM-22</t>
  </si>
  <si>
    <t>Piano di adeguamento prevenzione incendi. Adeguamento strutture territoriali</t>
  </si>
  <si>
    <t>EM-23</t>
  </si>
  <si>
    <t>Realizzazione Casa della Salute a Ponte a Egola</t>
  </si>
  <si>
    <t>EM-24</t>
  </si>
  <si>
    <t>Realizzazione Casa della Salute a Certaldo</t>
  </si>
  <si>
    <t>EM-25</t>
  </si>
  <si>
    <t>Realizzazione Casa della Salute a Empoli Est</t>
  </si>
  <si>
    <t>EM-26</t>
  </si>
  <si>
    <t>Manutenzioni indistinte</t>
  </si>
  <si>
    <t>EM-27</t>
  </si>
  <si>
    <t>Efficientamento energetico edificio di via Cappuccini a Empoli</t>
  </si>
  <si>
    <t>EM-28</t>
  </si>
  <si>
    <t>Realizzazione Parcheggio via dei Cappuccini</t>
  </si>
  <si>
    <t>EM-29</t>
  </si>
  <si>
    <t>G34H14000740005</t>
  </si>
  <si>
    <t>Consolidamento movimenti pendio e messa in sicurezza del versante P.O. Fucecchio</t>
  </si>
  <si>
    <t>EM-30</t>
  </si>
  <si>
    <t>Trasformazione in hospice ed efficientamento energetico della RSA di Via Volta a Empoli</t>
  </si>
  <si>
    <t>EM-31</t>
  </si>
  <si>
    <t>Centro Polivalente disabilità e autismo Empoli</t>
  </si>
  <si>
    <t>EM-32</t>
  </si>
  <si>
    <t>Realizzazione Casa della Salute Empoli Centro</t>
  </si>
  <si>
    <t>EM-33</t>
  </si>
  <si>
    <t>Acquisto fabbricato per completamento Casa della Salute S. Croce sull'Arno</t>
  </si>
  <si>
    <t>EM-34</t>
  </si>
  <si>
    <t>Acquisizione di terreno agricolo con resede circostante Ospedale San Pietro Igneo</t>
  </si>
  <si>
    <t>EM-35</t>
  </si>
  <si>
    <t>Acquisizione Distretto di Montespertoli per locazione scaduta</t>
  </si>
  <si>
    <t>EM-36</t>
  </si>
  <si>
    <t>Riscatto Sede Agenzia Formativa Sovigliana a seguito di subentro contratto di leasing</t>
  </si>
  <si>
    <t>EM-37</t>
  </si>
  <si>
    <t>Verifiche di vulnerabilità e adeguamenti sismici</t>
  </si>
  <si>
    <t>TOTALE PARZIALE Ex-Azienda EMPOLI</t>
  </si>
  <si>
    <t xml:space="preserve">Altri finanziamenti Aziendali </t>
  </si>
  <si>
    <t>FIRENZE</t>
  </si>
  <si>
    <t>a) Costo complessivo</t>
  </si>
  <si>
    <t>b) Spesa al 31-12-2017</t>
  </si>
  <si>
    <t>Lavori in danno San Salvi; in attesa di rimborso dall'Assicurazione</t>
  </si>
  <si>
    <t>Note</t>
  </si>
  <si>
    <t>DGRT 1172/2014</t>
  </si>
  <si>
    <t>Residuo vecchi finanziamenti regionali (ex-ASF) - NUOVI CONTRIBUTI 2017/2019</t>
  </si>
  <si>
    <t>Autofinanziamento anni precedenti</t>
  </si>
  <si>
    <t>Autofinanziamento 2016-2018 e oltre</t>
  </si>
  <si>
    <t>mutui contratti 2016 e 2017</t>
  </si>
  <si>
    <t>mutui da contrarre</t>
  </si>
  <si>
    <t xml:space="preserve">Alienazioni - Fondi anticipazioni </t>
  </si>
  <si>
    <t>FI-01</t>
  </si>
  <si>
    <t>10.TR01.893</t>
  </si>
  <si>
    <t>Ristrutturazione villa Margherita</t>
  </si>
  <si>
    <t>FI-02</t>
  </si>
  <si>
    <t>10.TR01.907</t>
  </si>
  <si>
    <t>Interventi di riqualificazione ed. terr. Zona Distretto Firenze (via D'Annunzio)</t>
  </si>
  <si>
    <t>FI-03</t>
  </si>
  <si>
    <t>10.TR03.913</t>
  </si>
  <si>
    <t>San Salvi - ristrutturazione villa Fabbri</t>
  </si>
  <si>
    <t>FI-04</t>
  </si>
  <si>
    <t>10.TR01.890</t>
  </si>
  <si>
    <t>Interventi di riqualificazione zona Distretto Nord-ovest</t>
  </si>
  <si>
    <t>FI-05</t>
  </si>
  <si>
    <t>10.EN02.1315</t>
  </si>
  <si>
    <t>P.O. NSGD, P.O. OSMA - Lavori per gestione calore e collaudo impianto cogenerazione</t>
  </si>
  <si>
    <t>FI-06</t>
  </si>
  <si>
    <t>10.EO01.1114</t>
  </si>
  <si>
    <t>Manutenzioni straordinarie non programmabili</t>
  </si>
  <si>
    <t>FI-07</t>
  </si>
  <si>
    <t>10.TE02.1299</t>
  </si>
  <si>
    <t>P.O. OSMA - Angiografo, lavori per installazione apparecchio</t>
  </si>
  <si>
    <t>FI-08</t>
  </si>
  <si>
    <t>10.TR01.889</t>
  </si>
  <si>
    <t>San Salvi. Interventi di riqualificazione area San Salvi (cabina elettrica e manutenzione straordinaria)</t>
  </si>
  <si>
    <t>FI-09</t>
  </si>
  <si>
    <t>Casa della Salute Morgagni - Manutenzione straordinaria edificio esistente</t>
  </si>
  <si>
    <t>Sistemare piano seminterrato – adeguamento prevenzione incendi</t>
  </si>
  <si>
    <t>FI-10</t>
  </si>
  <si>
    <t>Casa della Salute S.Francesco Pelago - Manutenzione straordinaria edificio esistente</t>
  </si>
  <si>
    <t>FI-11</t>
  </si>
  <si>
    <t>10.PS02.1115</t>
  </si>
  <si>
    <t>Centro Primo Soccorso Pelago - 2° stralcio</t>
  </si>
  <si>
    <t>FI-12</t>
  </si>
  <si>
    <t>10.TR01.1113</t>
  </si>
  <si>
    <t>Borgognissanti. Distretto D2 - Manutenzione straordinaria del presidio</t>
  </si>
  <si>
    <t>FI-20</t>
  </si>
  <si>
    <t>Realizzazione opere di adeguamento impianti smaltimento reflui fognari ed installazione sistemi di contabilzzazione acque reflue</t>
  </si>
  <si>
    <t>FI-21</t>
  </si>
  <si>
    <t>Distretto "Santa Rosa", spostamento attività. Fase 1) Ristrutturazione immobile Borgo Ognissanti</t>
  </si>
  <si>
    <t>FI-22</t>
  </si>
  <si>
    <t>Distretto "Santa Rosa", spostamento attività. Fase 2) Ristrutturazione immobile "Santa Rosa"</t>
  </si>
  <si>
    <t>FI-23</t>
  </si>
  <si>
    <t>10.EO08.1302</t>
  </si>
  <si>
    <t>Programma elisuperfici presidi area fiorentina</t>
  </si>
  <si>
    <t>FI-24</t>
  </si>
  <si>
    <t>10.EO05.902</t>
  </si>
  <si>
    <t>Interventi di riqualificazione ed. terr. Zona Distretto Mugello</t>
  </si>
  <si>
    <t>Marradi, San Francesco, Villa Falcucci</t>
  </si>
  <si>
    <t>FI-25</t>
  </si>
  <si>
    <t>10.EO01.892</t>
  </si>
  <si>
    <t>P.O. Mugello - Riqualificazione</t>
  </si>
  <si>
    <t>FI-26</t>
  </si>
  <si>
    <t>Realizzazione nuovo ospedale Borgo san Lorenzo</t>
  </si>
  <si>
    <t>FI-27</t>
  </si>
  <si>
    <t>10.EO01.1111</t>
  </si>
  <si>
    <t>P.O. OSMA - Riqualificazione: accreditamento reparto radiologia con opere per installazione nuova Risonanza Magnetica  (l'importo non comprende la fornitura della RMN)</t>
  </si>
  <si>
    <t>FI-28</t>
  </si>
  <si>
    <t>10.TR01.885</t>
  </si>
  <si>
    <t>Interventi di riqualificazione ed. terr. Zona Distretto, Firenze</t>
  </si>
  <si>
    <t xml:space="preserve">Ex magazzini D’Annunzio - </t>
  </si>
  <si>
    <t>FI-30</t>
  </si>
  <si>
    <t>San Salvi. Interventi  in somma urgenza attivati e da attivare per la messa in sicurezza e parziale ripristino dei danni causati dal nubifragio dell'1/08/2015 agli edifici dell'area di San Salvi in Firenze</t>
  </si>
  <si>
    <t>Restauro e riqualificazione funzionale Area di San Salvi (Pal. 17-25-33-34-35, stralcio 2 Pal. 28, demolizione 18-19-20, sicurezza camminamenti). - pal. 18 circa 200,000 per demolizione, circa 100,000 per ripristino dell’area</t>
  </si>
  <si>
    <t>FI-31</t>
  </si>
  <si>
    <t>Casa della Salute Le Piagge - Manutenzione straordinaria edificio esistente</t>
  </si>
  <si>
    <t>FI-32</t>
  </si>
  <si>
    <t>10.EO06.1313</t>
  </si>
  <si>
    <t>P.O. Serristori. Piano sicurezza D.Lgs.81/08 - adeguamento quadro di BT cabina principale per prima messa in sicurezza, adeguamento quadro di distribuzione principale, e adeguamenti minimi sicurezza nei reparti</t>
  </si>
  <si>
    <t>FI-34</t>
  </si>
  <si>
    <t>Camerata - Manutenzione straordinaria del terzo piano (ex SIC) e della Vecchia Villa</t>
  </si>
  <si>
    <t>FI-35</t>
  </si>
  <si>
    <t>Casa della Salute Tavernuzze - Ristrutturazione presidio Impruneta</t>
  </si>
  <si>
    <t>FI-36</t>
  </si>
  <si>
    <t>Casa della Salute Reggello</t>
  </si>
  <si>
    <t>FI-38</t>
  </si>
  <si>
    <t>10.EO06.1314</t>
  </si>
  <si>
    <t>Piano adeguamento prevenzione incendi - Strutture territoriali</t>
  </si>
  <si>
    <t>FI-39</t>
  </si>
  <si>
    <t>10.TR01.1303</t>
  </si>
  <si>
    <t>Nuova sede distrettuale Sesto Fiorentino, manutenzione straordinaria attuale Distretto (via Gramsci)</t>
  </si>
  <si>
    <t>FI-40</t>
  </si>
  <si>
    <t>10.EO06.1869</t>
  </si>
  <si>
    <t>P.O. Mugello. Adeguamento statico</t>
  </si>
  <si>
    <t>FI-41</t>
  </si>
  <si>
    <t>10.AC01.918</t>
  </si>
  <si>
    <t>Acquisto immobili</t>
  </si>
  <si>
    <t>FI-43</t>
  </si>
  <si>
    <t>10.EO01.905</t>
  </si>
  <si>
    <t>I.O.T. - Riqualificazione, 1° stralcio (INRCA)</t>
  </si>
  <si>
    <t>FI-44</t>
  </si>
  <si>
    <t>10.EO05.1331</t>
  </si>
  <si>
    <t>Verifiche sismiche ex DM 2008</t>
  </si>
  <si>
    <t>inserito di pari importo finaziamento finalizzato – tolti da mutuo e da alienazioni la differenza</t>
  </si>
  <si>
    <t>FI-45</t>
  </si>
  <si>
    <t>10.EO05.1310</t>
  </si>
  <si>
    <t>FI-46</t>
  </si>
  <si>
    <t>10.TR01.1297</t>
  </si>
  <si>
    <t>Distretto S.S. Montedomini. Ristrutturazione</t>
  </si>
  <si>
    <t>FI-47bis</t>
  </si>
  <si>
    <t>Ristrutturazione distretto socio-sanitario Montedomini lato via Giovane Italia. Stralcio 2</t>
  </si>
  <si>
    <t>FI-47</t>
  </si>
  <si>
    <t>10.EO01.891</t>
  </si>
  <si>
    <t>I.O.T. - Riqualificazione, 2° stralcio</t>
  </si>
  <si>
    <t>FI-49</t>
  </si>
  <si>
    <t>Casa della Salute Pontassieve - Realizzazione nuovo edificio in area ex-ferrovie</t>
  </si>
  <si>
    <t>FI-50</t>
  </si>
  <si>
    <t>10.EO01.886</t>
  </si>
  <si>
    <t>P.O. OSMA - Riqualificazione</t>
  </si>
  <si>
    <t>FI-51</t>
  </si>
  <si>
    <t>10.EO01.906</t>
  </si>
  <si>
    <t>P.O. Santa Maria Nuova - Riqualificazione</t>
  </si>
  <si>
    <t>FI-53</t>
  </si>
  <si>
    <t>10.EO01.887</t>
  </si>
  <si>
    <t>P.O. Serristori - Riqualificazione</t>
  </si>
  <si>
    <t>FI-55</t>
  </si>
  <si>
    <t>10.EO01.888</t>
  </si>
  <si>
    <t>P.O. NSGD Torregalli - Riqualificazione</t>
  </si>
  <si>
    <t>TSN</t>
  </si>
  <si>
    <t>Sezione</t>
  </si>
  <si>
    <t>Autofinanziamento Previsto
2017-2019</t>
  </si>
  <si>
    <t>E32F14000120006</t>
  </si>
  <si>
    <t>Prato</t>
  </si>
  <si>
    <t>PO-04</t>
  </si>
  <si>
    <t>090.090104.U.077.01</t>
  </si>
  <si>
    <t>Lavori</t>
  </si>
  <si>
    <t>Restauro delle facciate degli edifici storici presenti in Piazza Ospedale a Prato</t>
  </si>
  <si>
    <t>E39F03000020004</t>
  </si>
  <si>
    <t>PO-06</t>
  </si>
  <si>
    <t>04.EO02.669</t>
  </si>
  <si>
    <t>Realizzazione nuovo Ospedale di Prato</t>
  </si>
  <si>
    <t>Acquisto immobili Comune (costituisce ricavo)</t>
  </si>
  <si>
    <t>E38C15000090007</t>
  </si>
  <si>
    <t>PO-07</t>
  </si>
  <si>
    <t>Lavori di demolizione e bonifica degli immobili dismessi del vecchio ospedale " Misericordia e Dolce" di Prato</t>
  </si>
  <si>
    <t>Cessione materiale di recupero dei lavori di demolizione (Costituisce ricavo)</t>
  </si>
  <si>
    <t>E34E16002830005</t>
  </si>
  <si>
    <t>PO-08</t>
  </si>
  <si>
    <t xml:space="preserve"> Lavori di  Prevenzione incendi nell'ex Area Ospedaliera "Misericordia e Dolce",  compresa la fornitura di arredi conformi alle caratteristiche di reazione al fuoco</t>
  </si>
  <si>
    <t>E34E16002810006</t>
  </si>
  <si>
    <t>PO-09</t>
  </si>
  <si>
    <t>Ristrutturazione ex locali di Anatomia Patologica del vecchio ospedale "Misericordia e Dolce"</t>
  </si>
  <si>
    <t>PO-10</t>
  </si>
  <si>
    <t>Manutenzioni indistinte (importo comprensivo accordo quadro USL centro di € 175.000,00)</t>
  </si>
  <si>
    <t>PO-11</t>
  </si>
  <si>
    <t>Lavori di adeguamento degli immobili in disponibilità dell'Azienda ai fini dell'accreditamento istituzionale (L.R. 51/2009) - Antisismica -</t>
  </si>
  <si>
    <t>PO-12</t>
  </si>
  <si>
    <t>Lavori di risanamento conservativo delle coperture dei tetti della parte storica del vecchio ospedale "Misericordia e Dolce"</t>
  </si>
  <si>
    <t>PO-13</t>
  </si>
  <si>
    <t>Realizzazione Distretto San Paolo</t>
  </si>
  <si>
    <t>PO-15</t>
  </si>
  <si>
    <t>Acquisto Ecografo</t>
  </si>
  <si>
    <t>PO-16</t>
  </si>
  <si>
    <t xml:space="preserve">Lavori di ristrutturazione e restauro della Cappella di San Barnaba presso  il vecchio ospedale " Misericordia e Dolce" </t>
  </si>
  <si>
    <t>PO-17</t>
  </si>
  <si>
    <t>Lavori di risanamento conservativo della copertura del tetto dell’ex Reparto di Diabetologia del vecchio ospedale  “Misericordia e Dolce”</t>
  </si>
  <si>
    <t>PO-19</t>
  </si>
  <si>
    <t>Lavori per adeguamento prevenzione incendi del C.S.S. Giovannini e del Dip. della Prevenzione</t>
  </si>
  <si>
    <t>E64H15000860005</t>
  </si>
  <si>
    <t>PO-20</t>
  </si>
  <si>
    <t>Lavori di ripristino della copertura lignea del fabbricato ex ortopedia del “Misericordia e Dolce” di Prato nell'ambito dell'Accordo quadro per le opere di manutenzione straordinaria sugli immobili in disponibilità dell'Azienda</t>
  </si>
  <si>
    <t>PO-21</t>
  </si>
  <si>
    <t xml:space="preserve">Nuovo </t>
  </si>
  <si>
    <t>Riadeguamento funzionale dell'ex RSA di Narnali per la realizzazione di 30 posti letto di degenza cure intermedie e 12 posti letto di Cognitivo Comportamentale e Centro Diurno Alzheimer</t>
  </si>
  <si>
    <t>E34E16002800005</t>
  </si>
  <si>
    <t>PO-23</t>
  </si>
  <si>
    <t>Lavori di realizzazione deposito farmaci e locali adiacenti al piano terra della palazzina economale del presidio ospedaliero "Santo Stefano" di Prato</t>
  </si>
  <si>
    <t>PO-24</t>
  </si>
  <si>
    <t>Llav</t>
  </si>
  <si>
    <t>Lavori di trasformazione in archivio dei locali "magazzini" dell’edificio “D” presso l’Area del Centro Socio Sanitario “R. Giovannini", ubicato a Prato, in via Cavour, 118 - 120)</t>
  </si>
  <si>
    <t>E37H17000370005</t>
  </si>
  <si>
    <t>PO-25</t>
  </si>
  <si>
    <t>Palazzina Nuovo Ospedale</t>
  </si>
  <si>
    <t>PO26</t>
  </si>
  <si>
    <t>Radiofarmaci PET</t>
  </si>
  <si>
    <t>Acquisto Distretto di Vernio</t>
  </si>
  <si>
    <t>Acquisto Distretto di Poggio a Caiano</t>
  </si>
  <si>
    <t>PO27</t>
  </si>
  <si>
    <t>Efficientamento energetico Distretto Eliana Martini</t>
  </si>
  <si>
    <t>PO28</t>
  </si>
  <si>
    <t>Efficientamento energetico Palazzina Ovest Vecchio Ospedale</t>
  </si>
  <si>
    <t>PO29</t>
  </si>
  <si>
    <t>Efficientamento energetico Distretto di Vaiano</t>
  </si>
  <si>
    <t>PO30</t>
  </si>
  <si>
    <t>Efficientamento energetico Locali spogliatoi Vecchio Ospedale</t>
  </si>
  <si>
    <t>PO31</t>
  </si>
  <si>
    <t>TOTALE PARZIALE Ex-Azienda PRATO</t>
  </si>
  <si>
    <t>PO-01</t>
  </si>
  <si>
    <t>Attrezzature Sanitarie</t>
  </si>
  <si>
    <t>Acquisizione arredi e attrezzature sanitarie per il  nuovo Ospedale di Prato</t>
  </si>
  <si>
    <t>E36J14000210006</t>
  </si>
  <si>
    <t>PO-03</t>
  </si>
  <si>
    <t>090.090104.U.078.01</t>
  </si>
  <si>
    <t>Acquisizione di apparecchiature elettromedicali ed informatiche</t>
  </si>
  <si>
    <t>Attrezzature sanitarie</t>
  </si>
  <si>
    <t>Acquisizione altre tecnologie sanitarie</t>
  </si>
  <si>
    <t>ACQ</t>
  </si>
  <si>
    <t>Acquisizione apparecchiature elettromedicali territorio</t>
  </si>
  <si>
    <t>E66J14001010002</t>
  </si>
  <si>
    <t>Acquisizione elettromedicali per rinnovo attrezzature</t>
  </si>
  <si>
    <t>Beni economali</t>
  </si>
  <si>
    <t>Acquisto ausili</t>
  </si>
  <si>
    <t>PO-22</t>
  </si>
  <si>
    <t>Acquisizione arredi territorio</t>
  </si>
  <si>
    <t>PO-02</t>
  </si>
  <si>
    <t>ICT</t>
  </si>
  <si>
    <t>Attrezzature Informatiche</t>
  </si>
  <si>
    <t>Acqusizione attrezzature informatiche per il nuovo Ospedale di Prato</t>
  </si>
  <si>
    <t>Attrezzature informatiche</t>
  </si>
  <si>
    <t>Altri finanziamenti (con eventuale contributo privato)</t>
  </si>
  <si>
    <t>Fabbisogno non coperto (OLTRE IL 2019</t>
  </si>
  <si>
    <t>Case della Salute, L.244/2007, D.5133 del 14-11-2011</t>
  </si>
  <si>
    <t>Finanziamenti Regionali DGR 829/2014</t>
  </si>
  <si>
    <t>Finanziamenti regionali 2014-2015</t>
  </si>
  <si>
    <t>Mutui Contratti anni precedenti</t>
  </si>
  <si>
    <t>mutui contratti</t>
  </si>
  <si>
    <t>Mutui da contrarre nel triennio 2016-2018</t>
  </si>
  <si>
    <t>Mutui da contrarre negli anni oltre 2018</t>
  </si>
  <si>
    <t>Alienazioni - Fondi anticipazioni</t>
  </si>
  <si>
    <t>PT-01</t>
  </si>
  <si>
    <t>03.EO02.636</t>
  </si>
  <si>
    <t>Nuovo Ospedale S. Jacopo di Pistoia</t>
  </si>
  <si>
    <t>Regione Toscana Delibera GRT 490/2011</t>
  </si>
  <si>
    <t>PT-02</t>
  </si>
  <si>
    <t>Demolizione edifici dell'Area del Ceppo per attuazione previsioni PRG</t>
  </si>
  <si>
    <t>accordo di programma in data 4.05.2015, in attesa del decreto regionale attuativo</t>
  </si>
  <si>
    <t>PT-03</t>
  </si>
  <si>
    <t>03.EO01.1278</t>
  </si>
  <si>
    <t>Restauro antico ospedale del Ceppo (PIUSS)</t>
  </si>
  <si>
    <t>Decreto Dirigenziale n. 1732 02.03.2011</t>
  </si>
  <si>
    <t>PT-04</t>
  </si>
  <si>
    <t>03.PS02.1267</t>
  </si>
  <si>
    <t>Adeguamento e riorganizzazione per livelli di assistenza del p.o. Pescia – Lavori di spostamento del Pronto Soccorso</t>
  </si>
  <si>
    <t>in attesa di collaudo</t>
  </si>
  <si>
    <t>PT-07</t>
  </si>
  <si>
    <t>Ristrutturazione immobile ex Terme Via Marconi n.4 in Montecatini Terme per realizzazione magazzino logistico</t>
  </si>
  <si>
    <t>DGRT 1272/2014 e 42/2015</t>
  </si>
  <si>
    <t>PT-08</t>
  </si>
  <si>
    <t>03.EO01.1280</t>
  </si>
  <si>
    <t>Ristrutturazione reparto Ginecologia e Sala Parto p.o. Pescia</t>
  </si>
  <si>
    <t>PT-09</t>
  </si>
  <si>
    <t>Adeguamento edificio in Pescia Via Battisti per locali amministrativi e Casa della Salute</t>
  </si>
  <si>
    <t>Dec. 5133/2011</t>
  </si>
  <si>
    <t>PT-10</t>
  </si>
  <si>
    <t>Ristrutturazione Centrale Operativa 118</t>
  </si>
  <si>
    <t>PT-11</t>
  </si>
  <si>
    <t>Completamento museo dei ferri chirurgici</t>
  </si>
  <si>
    <t>PT-13</t>
  </si>
  <si>
    <t>03.TR01.598</t>
  </si>
  <si>
    <t>Restauro giardino Villone Puccini</t>
  </si>
  <si>
    <t>Decreto Dirigenziale n. 3943/2010</t>
  </si>
  <si>
    <t>PT-14</t>
  </si>
  <si>
    <t>Manutenzione straordinaria fabbricato Anatomia Patologica posto nell'Area del Ceppo</t>
  </si>
  <si>
    <t>PT-17</t>
  </si>
  <si>
    <t>Recupero strutture in cemento armato nel Padiglione Sud p.o. Pescia</t>
  </si>
  <si>
    <t>PT-19</t>
  </si>
  <si>
    <t>Installazione montacarichi p.o. Pescia</t>
  </si>
  <si>
    <t>PT-20</t>
  </si>
  <si>
    <t>Manutenzione straordinaria immobili montagna pistoiese</t>
  </si>
  <si>
    <t>PT-22</t>
  </si>
  <si>
    <t>Manutenzione straordinaria ponte e muri di sostegno in Via Casorelle a Lamporecchio</t>
  </si>
  <si>
    <t>PT-23</t>
  </si>
  <si>
    <t>Ristrutturazione appartamento Via Valdibrana n.139 in Pistoia</t>
  </si>
  <si>
    <t>PT-24</t>
  </si>
  <si>
    <t>Ristrutturazione e messa in sicurezza Casa del Custode di Villa Ankuri in Massa e Cozzile</t>
  </si>
  <si>
    <t>PT-26</t>
  </si>
  <si>
    <t>Realizzazione Casa della Salute in Ponte Buggianese</t>
  </si>
  <si>
    <t>25% QUOTA A CARICO del Comune di Ponte B</t>
  </si>
  <si>
    <t>PT-27</t>
  </si>
  <si>
    <t>Adeguamento Centro Diurno in Monsummano Via Milazzo</t>
  </si>
  <si>
    <t>PT-28</t>
  </si>
  <si>
    <t>Restauro piano seminterrato dell'annesso e completamento Villa Ankuri in Massa e Cozzile</t>
  </si>
  <si>
    <t>PT-29</t>
  </si>
  <si>
    <t>Realizzazione lavori per sanatoria Soprintendenza padiglione storico</t>
  </si>
  <si>
    <t>PT-30</t>
  </si>
  <si>
    <t>Completamento del restauro del giardino del villone Puccini</t>
  </si>
  <si>
    <t>PT-31</t>
  </si>
  <si>
    <t>Installazione nuovi ascensori per disabili Padiglione Nord e Centrale p.o. Pescia</t>
  </si>
  <si>
    <t>PT-32</t>
  </si>
  <si>
    <t>Ampliamento pronto soccorso PIOT di San Marcello</t>
  </si>
  <si>
    <t>PT-33</t>
  </si>
  <si>
    <t>Acquisto edificio in Comune di Quarrata per adibirlo a Casa della Salute</t>
  </si>
  <si>
    <t>DGRT 553/2010 e 330/2015</t>
  </si>
  <si>
    <t>PT-34</t>
  </si>
  <si>
    <t>Adeguamento ai carichi verticali del P.O. di Pescia</t>
  </si>
  <si>
    <t>PT-35</t>
  </si>
  <si>
    <t>Manutenzione straordinaria edifici prospicienti via degli Armeni Pistoia</t>
  </si>
  <si>
    <t>PT-37</t>
  </si>
  <si>
    <t>Adeguamento antincendio e impiantistico PIOT di San Marcello</t>
  </si>
  <si>
    <t>PT-39</t>
  </si>
  <si>
    <t>PT-40</t>
  </si>
  <si>
    <t>Adeguamento antincendio distretti/Casa della salute</t>
  </si>
  <si>
    <t>PT-41</t>
  </si>
  <si>
    <t>Ristrutturazione padiglione ex Degenze Area del Ceppo 1° lotto</t>
  </si>
  <si>
    <t>PT-45</t>
  </si>
  <si>
    <t>Adeguamento antincendio p.o. di Pescia</t>
  </si>
  <si>
    <t>PT-46</t>
  </si>
  <si>
    <t>Ampliamento sala di attesa PS Ospedale San Jacopo</t>
  </si>
  <si>
    <t>PT-47</t>
  </si>
  <si>
    <t>Realizzazione nuove sale operatorie Ospedale di Pescia</t>
  </si>
  <si>
    <t>PT-48</t>
  </si>
  <si>
    <t>Rifacimento piazzale PS Ospedale SS Cosma e Damiano</t>
  </si>
  <si>
    <t>PT-49</t>
  </si>
  <si>
    <t>Realizzazione Centro donna e ambulatori Casa della Salute in via Fiorentina Pescia</t>
  </si>
  <si>
    <t>PT-50</t>
  </si>
  <si>
    <t>Sistemazione edificio locale viale Garibaldi</t>
  </si>
  <si>
    <t>PT-51</t>
  </si>
  <si>
    <t>Lavori di Efficientamento energetico e adeguamento antincendio Distretto Monsummano Terme</t>
  </si>
  <si>
    <t>PT-52</t>
  </si>
  <si>
    <t>Lavori di manutenzione straordinaria degli edifici di Viale Petrocchi</t>
  </si>
  <si>
    <t>PT-53</t>
  </si>
  <si>
    <t>Realizzazione locali formazione ex nuove degenze</t>
  </si>
  <si>
    <t>PT-54</t>
  </si>
  <si>
    <t>TOTALE PARZIALE Ex-Azienda PISTOIA</t>
  </si>
  <si>
    <t xml:space="preserve">mutui contratti </t>
  </si>
  <si>
    <t>Mutui contratti anni precedenti al 2016</t>
  </si>
  <si>
    <t>Area EMPOLI</t>
  </si>
  <si>
    <t xml:space="preserve">Area FIRENZE </t>
  </si>
  <si>
    <t>Area PISTOIA</t>
  </si>
  <si>
    <t>Area PRATO</t>
  </si>
  <si>
    <t>▪             COPERTURE</t>
  </si>
  <si>
    <t>FI-56</t>
  </si>
  <si>
    <t>P.O. NSGD Torregalli - Realizzazione Pronto Soccorso</t>
  </si>
  <si>
    <t>FI-57</t>
  </si>
  <si>
    <t>Edificio via della Pergola. Rifacimento coperture.</t>
  </si>
  <si>
    <t>FI-58</t>
  </si>
  <si>
    <t>10.PS01.898</t>
  </si>
  <si>
    <t>P.O. OSMA - Realizzazione nuovo DEA</t>
  </si>
  <si>
    <t>FI-61</t>
  </si>
  <si>
    <t>FI-62</t>
  </si>
  <si>
    <t>Piano di adeguamento prevenzione incendi. Adeguamento strutture ospedaliere/residenziali</t>
  </si>
  <si>
    <t>FI-63</t>
  </si>
  <si>
    <t>10.TE02.1301</t>
  </si>
  <si>
    <t>Opere di adeguamento sismico e riqualificazione del complesso ospedaliero di Borgo San Lorenzo</t>
  </si>
  <si>
    <t>FI-64</t>
  </si>
  <si>
    <t>Opere di finitura per allestimento locali da destinare al servizio PISLL - Presidio Via Salvanti</t>
  </si>
  <si>
    <t>FI-65</t>
  </si>
  <si>
    <t>Struttura Psichiatrica Residenziale Le Querce - Comune di Firenze - Superamento degli Ospedali Psichiatrici Giudiziari</t>
  </si>
  <si>
    <t>FI-66</t>
  </si>
  <si>
    <t>Acquisto area per spostamento canile BANTI e per nuovo Distretto Dicomano</t>
  </si>
  <si>
    <t>TOTALE PARZIALE Ex-Azienda FIRENZE</t>
  </si>
  <si>
    <t>LA DIFFERENZA è SU INF-SAN-ECO</t>
  </si>
  <si>
    <t>Queste sono attrezzature -mancano i flussi</t>
  </si>
  <si>
    <t>totali</t>
  </si>
  <si>
    <t>Mutui contratti</t>
  </si>
  <si>
    <t>mutui 2016 e 2017</t>
  </si>
  <si>
    <t>Mutui da Contrarre tot. 147,000,000</t>
  </si>
  <si>
    <t>Mutui da contrarre nel triennio 2017-2019</t>
  </si>
  <si>
    <t>Mutui da contrarre negli anni oltre 2019</t>
  </si>
  <si>
    <t>A</t>
  </si>
  <si>
    <t>'A-C-D-B</t>
  </si>
  <si>
    <t>Immobili già alienati</t>
  </si>
  <si>
    <t>Immobili da alienare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</si>
</sst>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_-&quot;€ &quot;* #,##0.00_-;&quot;-€ &quot;* #,##0.00_-;_-&quot;€ &quot;* \-??_-;_-@_-"/>
    <numFmt numFmtId="166" formatCode="_-&quot;€ &quot;* #,##0_-;&quot;-€ &quot;* #,##0_-;_-&quot;€ &quot;* \-??_-;_-@_-"/>
    <numFmt numFmtId="167" formatCode="&quot;€ &quot;#,##0.00"/>
  </numFmts>
  <fonts count="80" x14ac:knownFonts="1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9"/>
      <color indexed="8"/>
      <name val="Calibri"/>
      <family val="2"/>
    </font>
    <font>
      <b/>
      <sz val="10"/>
      <name val="Arial"/>
      <family val="2"/>
    </font>
    <font>
      <b/>
      <sz val="8"/>
      <name val="Arial"/>
      <family val="2"/>
      <charset val="1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1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i/>
      <sz val="10"/>
      <color indexed="8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1"/>
      <color indexed="63"/>
      <name val="Arial"/>
      <family val="2"/>
      <charset val="1"/>
    </font>
    <font>
      <b/>
      <sz val="18"/>
      <color indexed="63"/>
      <name val="Arial"/>
      <family val="2"/>
      <charset val="1"/>
    </font>
    <font>
      <b/>
      <sz val="18"/>
      <name val="Arial"/>
      <family val="2"/>
      <charset val="1"/>
    </font>
    <font>
      <sz val="12"/>
      <color indexed="63"/>
      <name val="Arial"/>
      <family val="2"/>
      <charset val="1"/>
    </font>
    <font>
      <b/>
      <sz val="22"/>
      <color indexed="63"/>
      <name val="Arial"/>
      <family val="2"/>
      <charset val="1"/>
    </font>
    <font>
      <sz val="22"/>
      <color indexed="63"/>
      <name val="Arial"/>
      <family val="2"/>
      <charset val="1"/>
    </font>
    <font>
      <sz val="18"/>
      <name val="Arial"/>
      <family val="2"/>
      <charset val="1"/>
    </font>
    <font>
      <b/>
      <sz val="16"/>
      <color indexed="63"/>
      <name val="Arial"/>
      <family val="2"/>
      <charset val="1"/>
    </font>
    <font>
      <sz val="11"/>
      <color indexed="63"/>
      <name val="Calibri"/>
      <family val="2"/>
      <charset val="1"/>
    </font>
    <font>
      <b/>
      <sz val="14"/>
      <color indexed="8"/>
      <name val="Arial"/>
      <family val="2"/>
    </font>
    <font>
      <b/>
      <sz val="14"/>
      <color indexed="8"/>
      <name val="Calibri"/>
      <family val="2"/>
    </font>
    <font>
      <b/>
      <sz val="14"/>
      <color indexed="63"/>
      <name val="Calibri"/>
      <family val="2"/>
    </font>
    <font>
      <b/>
      <sz val="22"/>
      <name val="Arial"/>
      <family val="2"/>
      <charset val="1"/>
    </font>
    <font>
      <sz val="20"/>
      <name val="Arial"/>
      <family val="2"/>
      <charset val="1"/>
    </font>
    <font>
      <b/>
      <sz val="16"/>
      <name val="Arial"/>
      <family val="2"/>
      <charset val="1"/>
    </font>
    <font>
      <b/>
      <sz val="16"/>
      <color indexed="10"/>
      <name val="Arial"/>
      <family val="2"/>
      <charset val="1"/>
    </font>
    <font>
      <b/>
      <sz val="20"/>
      <name val="Arial"/>
      <family val="2"/>
    </font>
    <font>
      <b/>
      <i/>
      <sz val="20"/>
      <color indexed="63"/>
      <name val="Arial"/>
      <family val="2"/>
      <charset val="1"/>
    </font>
    <font>
      <sz val="20"/>
      <color indexed="63"/>
      <name val="Arial"/>
      <family val="2"/>
      <charset val="1"/>
    </font>
    <font>
      <sz val="10"/>
      <color indexed="63"/>
      <name val="Arial"/>
      <family val="2"/>
      <charset val="1"/>
    </font>
    <font>
      <b/>
      <sz val="28"/>
      <color indexed="63"/>
      <name val="Arial"/>
      <family val="2"/>
      <charset val="1"/>
    </font>
    <font>
      <b/>
      <sz val="20"/>
      <color indexed="63"/>
      <name val="Arial"/>
      <family val="2"/>
      <charset val="1"/>
    </font>
    <font>
      <b/>
      <sz val="20"/>
      <name val="Arial"/>
      <family val="2"/>
      <charset val="1"/>
    </font>
    <font>
      <b/>
      <sz val="11"/>
      <color indexed="63"/>
      <name val="Arial"/>
      <family val="2"/>
      <charset val="1"/>
    </font>
    <font>
      <sz val="18"/>
      <color indexed="63"/>
      <name val="Arial"/>
      <family val="2"/>
      <charset val="1"/>
    </font>
    <font>
      <sz val="11"/>
      <name val="Arial"/>
      <family val="2"/>
      <charset val="1"/>
    </font>
    <font>
      <sz val="12"/>
      <name val="Arial"/>
      <family val="2"/>
      <charset val="1"/>
    </font>
    <font>
      <b/>
      <sz val="9"/>
      <name val="Calibri"/>
      <family val="2"/>
    </font>
    <font>
      <sz val="14"/>
      <name val="Arial"/>
      <family val="2"/>
      <charset val="1"/>
    </font>
    <font>
      <sz val="15"/>
      <name val="Arial"/>
      <family val="2"/>
      <charset val="1"/>
    </font>
    <font>
      <b/>
      <sz val="24"/>
      <color indexed="63"/>
      <name val="Arial"/>
      <family val="2"/>
    </font>
    <font>
      <b/>
      <sz val="16"/>
      <color indexed="63"/>
      <name val="Arial"/>
      <family val="2"/>
    </font>
    <font>
      <b/>
      <sz val="12"/>
      <name val="Arial"/>
      <family val="2"/>
      <charset val="1"/>
    </font>
    <font>
      <sz val="14"/>
      <color indexed="63"/>
      <name val="Arial"/>
      <family val="2"/>
      <charset val="1"/>
    </font>
    <font>
      <b/>
      <sz val="12"/>
      <color indexed="63"/>
      <name val="Arial"/>
      <family val="2"/>
      <charset val="1"/>
    </font>
    <font>
      <sz val="11"/>
      <color rgb="FF333333"/>
      <name val="Calibri"/>
      <family val="2"/>
      <charset val="1"/>
    </font>
    <font>
      <sz val="11"/>
      <color rgb="FF333333"/>
      <name val="Arial"/>
      <family val="2"/>
      <charset val="1"/>
    </font>
    <font>
      <b/>
      <i/>
      <sz val="20"/>
      <color rgb="FF333333"/>
      <name val="Arial"/>
      <family val="2"/>
      <charset val="1"/>
    </font>
    <font>
      <b/>
      <sz val="28"/>
      <color rgb="FF333333"/>
      <name val="Arial"/>
      <family val="2"/>
      <charset val="1"/>
    </font>
    <font>
      <b/>
      <sz val="18"/>
      <color rgb="FF333333"/>
      <name val="Arial"/>
      <family val="2"/>
      <charset val="1"/>
    </font>
    <font>
      <b/>
      <sz val="14"/>
      <color rgb="FF333333"/>
      <name val="Arial"/>
      <family val="2"/>
      <charset val="1"/>
    </font>
    <font>
      <b/>
      <sz val="16"/>
      <color rgb="FF333333"/>
      <name val="Arial"/>
      <family val="2"/>
      <charset val="1"/>
    </font>
    <font>
      <b/>
      <sz val="14"/>
      <name val="Arial"/>
      <family val="2"/>
      <charset val="1"/>
    </font>
    <font>
      <sz val="18"/>
      <color rgb="FF333333"/>
      <name val="Arial"/>
      <family val="2"/>
      <charset val="1"/>
    </font>
    <font>
      <sz val="11"/>
      <name val="Calibri"/>
      <family val="2"/>
      <charset val="1"/>
    </font>
    <font>
      <sz val="18"/>
      <color rgb="FF333333"/>
      <name val="Calibri"/>
      <family val="2"/>
      <charset val="1"/>
    </font>
    <font>
      <b/>
      <sz val="14"/>
      <color indexed="63"/>
      <name val="Arial"/>
      <family val="2"/>
      <charset val="1"/>
    </font>
  </fonts>
  <fills count="5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45"/>
      </patternFill>
    </fill>
    <fill>
      <patternFill patternType="solid">
        <fgColor indexed="44"/>
        <bgColor indexed="41"/>
      </patternFill>
    </fill>
    <fill>
      <patternFill patternType="solid">
        <fgColor indexed="55"/>
        <bgColor indexed="24"/>
      </patternFill>
    </fill>
    <fill>
      <patternFill patternType="solid">
        <fgColor indexed="47"/>
        <bgColor indexed="31"/>
      </patternFill>
    </fill>
    <fill>
      <patternFill patternType="solid">
        <fgColor indexed="27"/>
        <bgColor indexed="42"/>
      </patternFill>
    </fill>
    <fill>
      <patternFill patternType="solid">
        <fgColor indexed="10"/>
        <bgColor indexed="61"/>
      </patternFill>
    </fill>
    <fill>
      <patternFill patternType="solid">
        <fgColor rgb="FF92D0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27"/>
      </patternFill>
    </fill>
    <fill>
      <patternFill patternType="solid">
        <fgColor indexed="29"/>
        <bgColor indexed="64"/>
      </patternFill>
    </fill>
    <fill>
      <patternFill patternType="solid">
        <fgColor theme="3" tint="0.59999389629810485"/>
        <bgColor indexed="21"/>
      </patternFill>
    </fill>
    <fill>
      <patternFill patternType="solid">
        <fgColor indexed="50"/>
        <bgColor indexed="45"/>
      </patternFill>
    </fill>
    <fill>
      <patternFill patternType="solid">
        <fgColor rgb="FF00B0F0"/>
        <bgColor indexed="40"/>
      </patternFill>
    </fill>
    <fill>
      <patternFill patternType="solid">
        <fgColor rgb="FF00B0F0"/>
        <bgColor indexed="41"/>
      </patternFill>
    </fill>
    <fill>
      <patternFill patternType="solid">
        <fgColor rgb="FFC0C0C0"/>
        <bgColor rgb="FFB3A2C7"/>
      </patternFill>
    </fill>
    <fill>
      <patternFill patternType="solid">
        <fgColor rgb="FF00CCFF"/>
        <bgColor rgb="FF33CCCC"/>
      </patternFill>
    </fill>
    <fill>
      <patternFill patternType="solid">
        <fgColor rgb="FFFFFF00"/>
        <bgColor indexed="64"/>
      </patternFill>
    </fill>
    <fill>
      <patternFill patternType="solid">
        <fgColor rgb="FF99CC00"/>
        <bgColor rgb="FF92D050"/>
      </patternFill>
    </fill>
    <fill>
      <patternFill patternType="solid">
        <fgColor rgb="FF00B0F0"/>
        <bgColor rgb="FF92D050"/>
      </patternFill>
    </fill>
    <fill>
      <patternFill patternType="solid">
        <fgColor theme="0" tint="-0.34998626667073579"/>
        <bgColor rgb="FF92D05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FFFF00"/>
      </patternFill>
    </fill>
    <fill>
      <patternFill patternType="solid">
        <fgColor rgb="FFFF8080"/>
        <bgColor rgb="FFFF99CC"/>
      </patternFill>
    </fill>
    <fill>
      <patternFill patternType="solid">
        <fgColor rgb="FF969696"/>
        <bgColor rgb="FF808080"/>
      </patternFill>
    </fill>
    <fill>
      <patternFill patternType="solid">
        <fgColor indexed="50"/>
        <bgColor indexed="23"/>
      </patternFill>
    </fill>
    <fill>
      <patternFill patternType="solid">
        <fgColor indexed="13"/>
        <bgColor indexed="34"/>
      </patternFill>
    </fill>
    <fill>
      <patternFill patternType="solid">
        <fgColor indexed="49"/>
        <bgColor indexed="15"/>
      </patternFill>
    </fill>
  </fills>
  <borders count="107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rgb="FF800000"/>
      </left>
      <right style="thin">
        <color rgb="FF800000"/>
      </right>
      <top style="medium">
        <color rgb="FF800000"/>
      </top>
      <bottom style="medium">
        <color rgb="FF800000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rgb="FF800000"/>
      </left>
      <right style="medium">
        <color rgb="FF800000"/>
      </right>
      <top style="thin">
        <color rgb="FF800000"/>
      </top>
      <bottom style="thin">
        <color rgb="FF800000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</borders>
  <cellStyleXfs count="48">
    <xf numFmtId="0" fontId="0" fillId="0" borderId="0"/>
    <xf numFmtId="164" fontId="1" fillId="0" borderId="0" applyFill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4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9" borderId="0" applyNumberFormat="0" applyBorder="0" applyAlignment="0" applyProtection="0"/>
    <xf numFmtId="0" fontId="11" fillId="5" borderId="0" applyNumberFormat="0" applyBorder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22" borderId="0" applyNumberFormat="0" applyBorder="0" applyAlignment="0" applyProtection="0"/>
    <xf numFmtId="0" fontId="13" fillId="8" borderId="0" applyNumberFormat="0" applyBorder="0" applyAlignment="0" applyProtection="0"/>
    <xf numFmtId="0" fontId="14" fillId="2" borderId="4" applyNumberFormat="0" applyAlignment="0" applyProtection="0"/>
    <xf numFmtId="0" fontId="15" fillId="6" borderId="5" applyNumberFormat="0" applyAlignment="0" applyProtection="0"/>
    <xf numFmtId="165" fontId="1" fillId="0" borderId="0" applyFill="0" applyBorder="0" applyAlignment="0" applyProtection="0"/>
    <xf numFmtId="165" fontId="16" fillId="0" borderId="0" applyBorder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3" borderId="0" applyNumberFormat="0" applyBorder="0" applyAlignment="0" applyProtection="0"/>
    <xf numFmtId="0" fontId="1" fillId="23" borderId="10" applyNumberFormat="0" applyAlignment="0" applyProtection="0"/>
    <xf numFmtId="0" fontId="24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41" fillId="0" borderId="0"/>
    <xf numFmtId="164" fontId="41" fillId="0" borderId="0" applyBorder="0" applyProtection="0"/>
    <xf numFmtId="0" fontId="68" fillId="0" borderId="0"/>
    <xf numFmtId="165" fontId="16" fillId="0" borderId="0" applyBorder="0" applyProtection="0"/>
    <xf numFmtId="43" fontId="41" fillId="0" borderId="0" applyFont="0" applyFill="0" applyBorder="0" applyAlignment="0" applyProtection="0"/>
  </cellStyleXfs>
  <cellXfs count="555">
    <xf numFmtId="0" fontId="0" fillId="0" borderId="0" xfId="0"/>
    <xf numFmtId="0" fontId="2" fillId="0" borderId="0" xfId="0" applyFont="1"/>
    <xf numFmtId="0" fontId="0" fillId="0" borderId="0" xfId="0" applyFill="1"/>
    <xf numFmtId="43" fontId="0" fillId="0" borderId="0" xfId="0" applyNumberFormat="1"/>
    <xf numFmtId="164" fontId="0" fillId="0" borderId="0" xfId="0" applyNumberFormat="1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7" fillId="5" borderId="2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2" xfId="0" applyFont="1" applyBorder="1"/>
    <xf numFmtId="164" fontId="4" fillId="0" borderId="2" xfId="1" applyFont="1" applyFill="1" applyBorder="1" applyAlignment="1" applyProtection="1"/>
    <xf numFmtId="0" fontId="0" fillId="0" borderId="2" xfId="0" applyBorder="1"/>
    <xf numFmtId="0" fontId="0" fillId="0" borderId="2" xfId="0" applyFont="1" applyBorder="1" applyAlignment="1">
      <alignment wrapText="1"/>
    </xf>
    <xf numFmtId="164" fontId="2" fillId="0" borderId="2" xfId="1" applyFont="1" applyFill="1" applyBorder="1" applyAlignment="1" applyProtection="1"/>
    <xf numFmtId="0" fontId="8" fillId="0" borderId="2" xfId="0" applyFont="1" applyBorder="1" applyAlignment="1">
      <alignment horizontal="center"/>
    </xf>
    <xf numFmtId="0" fontId="4" fillId="0" borderId="2" xfId="0" applyFont="1" applyBorder="1"/>
    <xf numFmtId="0" fontId="4" fillId="0" borderId="2" xfId="0" applyFont="1" applyFill="1" applyBorder="1"/>
    <xf numFmtId="0" fontId="9" fillId="0" borderId="2" xfId="0" applyFont="1" applyFill="1" applyBorder="1" applyAlignment="1">
      <alignment horizontal="center" vertical="center" wrapText="1"/>
    </xf>
    <xf numFmtId="164" fontId="0" fillId="0" borderId="2" xfId="1" applyFont="1" applyFill="1" applyBorder="1" applyAlignment="1" applyProtection="1"/>
    <xf numFmtId="164" fontId="0" fillId="0" borderId="0" xfId="0" applyNumberFormat="1" applyFill="1"/>
    <xf numFmtId="0" fontId="0" fillId="0" borderId="2" xfId="0" applyFill="1" applyBorder="1"/>
    <xf numFmtId="0" fontId="8" fillId="0" borderId="2" xfId="0" applyFont="1" applyFill="1" applyBorder="1"/>
    <xf numFmtId="0" fontId="10" fillId="6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Border="1"/>
    <xf numFmtId="164" fontId="0" fillId="0" borderId="0" xfId="1" applyFont="1" applyFill="1" applyBorder="1" applyAlignment="1" applyProtection="1"/>
    <xf numFmtId="0" fontId="4" fillId="0" borderId="0" xfId="0" applyFont="1"/>
    <xf numFmtId="0" fontId="27" fillId="0" borderId="12" xfId="0" applyFont="1" applyBorder="1" applyAlignment="1">
      <alignment horizontal="justify" vertical="center"/>
    </xf>
    <xf numFmtId="0" fontId="8" fillId="0" borderId="1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8" fillId="0" borderId="13" xfId="0" applyFont="1" applyBorder="1" applyAlignment="1">
      <alignment horizontal="justify" vertical="center"/>
    </xf>
    <xf numFmtId="166" fontId="29" fillId="0" borderId="2" xfId="29" applyNumberFormat="1" applyFont="1" applyFill="1" applyBorder="1" applyAlignment="1" applyProtection="1"/>
    <xf numFmtId="165" fontId="4" fillId="0" borderId="0" xfId="29" applyFont="1" applyFill="1" applyBorder="1" applyAlignment="1" applyProtection="1"/>
    <xf numFmtId="0" fontId="28" fillId="0" borderId="2" xfId="0" applyFont="1" applyBorder="1" applyAlignment="1">
      <alignment horizontal="justify" vertical="center"/>
    </xf>
    <xf numFmtId="0" fontId="30" fillId="0" borderId="14" xfId="0" applyFont="1" applyBorder="1" applyAlignment="1">
      <alignment horizontal="justify" vertical="center"/>
    </xf>
    <xf numFmtId="166" fontId="6" fillId="0" borderId="2" xfId="29" applyNumberFormat="1" applyFont="1" applyFill="1" applyBorder="1" applyAlignment="1" applyProtection="1"/>
    <xf numFmtId="165" fontId="2" fillId="0" borderId="0" xfId="29" applyFont="1" applyFill="1" applyBorder="1" applyAlignment="1" applyProtection="1"/>
    <xf numFmtId="0" fontId="31" fillId="0" borderId="12" xfId="0" applyFont="1" applyBorder="1" applyAlignment="1">
      <alignment horizontal="justify" vertical="center"/>
    </xf>
    <xf numFmtId="0" fontId="4" fillId="0" borderId="0" xfId="0" applyFont="1" applyBorder="1"/>
    <xf numFmtId="0" fontId="32" fillId="0" borderId="13" xfId="0" applyFont="1" applyBorder="1" applyAlignment="1">
      <alignment horizontal="justify" vertical="center"/>
    </xf>
    <xf numFmtId="166" fontId="29" fillId="0" borderId="13" xfId="29" applyNumberFormat="1" applyFont="1" applyFill="1" applyBorder="1" applyAlignment="1" applyProtection="1"/>
    <xf numFmtId="0" fontId="32" fillId="0" borderId="2" xfId="0" applyFont="1" applyBorder="1" applyAlignment="1">
      <alignment horizontal="justify" vertical="center"/>
    </xf>
    <xf numFmtId="0" fontId="31" fillId="0" borderId="2" xfId="0" applyFont="1" applyBorder="1" applyAlignment="1">
      <alignment horizontal="justify" vertical="center"/>
    </xf>
    <xf numFmtId="165" fontId="4" fillId="0" borderId="0" xfId="0" applyNumberFormat="1" applyFont="1"/>
    <xf numFmtId="0" fontId="33" fillId="0" borderId="0" xfId="30" applyNumberFormat="1" applyFont="1" applyBorder="1" applyAlignment="1" applyProtection="1">
      <alignment vertical="center"/>
    </xf>
    <xf numFmtId="0" fontId="34" fillId="0" borderId="0" xfId="30" applyNumberFormat="1" applyFont="1" applyBorder="1" applyAlignment="1" applyProtection="1">
      <alignment vertical="center"/>
    </xf>
    <xf numFmtId="0" fontId="35" fillId="0" borderId="0" xfId="30" applyNumberFormat="1" applyFont="1" applyFill="1" applyBorder="1" applyAlignment="1" applyProtection="1">
      <alignment horizontal="center" vertical="center"/>
    </xf>
    <xf numFmtId="0" fontId="34" fillId="0" borderId="0" xfId="30" applyNumberFormat="1" applyFont="1" applyBorder="1" applyAlignment="1" applyProtection="1">
      <alignment horizontal="center" vertical="center"/>
    </xf>
    <xf numFmtId="0" fontId="33" fillId="24" borderId="15" xfId="30" applyNumberFormat="1" applyFont="1" applyFill="1" applyBorder="1" applyAlignment="1" applyProtection="1">
      <alignment horizontal="center" vertical="center"/>
    </xf>
    <xf numFmtId="0" fontId="36" fillId="24" borderId="15" xfId="30" applyNumberFormat="1" applyFont="1" applyFill="1" applyBorder="1" applyAlignment="1" applyProtection="1">
      <alignment horizontal="center" vertical="center"/>
    </xf>
    <xf numFmtId="0" fontId="37" fillId="24" borderId="15" xfId="30" applyNumberFormat="1" applyFont="1" applyFill="1" applyBorder="1" applyAlignment="1" applyProtection="1">
      <alignment horizontal="center" vertical="center"/>
    </xf>
    <xf numFmtId="0" fontId="38" fillId="24" borderId="15" xfId="30" applyNumberFormat="1" applyFont="1" applyFill="1" applyBorder="1" applyAlignment="1" applyProtection="1">
      <alignment horizontal="center" vertical="center" wrapText="1"/>
    </xf>
    <xf numFmtId="0" fontId="39" fillId="0" borderId="0" xfId="30" applyNumberFormat="1" applyFont="1" applyFill="1" applyBorder="1" applyAlignment="1" applyProtection="1">
      <alignment horizontal="center" vertical="center"/>
    </xf>
    <xf numFmtId="0" fontId="34" fillId="3" borderId="16" xfId="30" applyNumberFormat="1" applyFont="1" applyFill="1" applyBorder="1" applyAlignment="1" applyProtection="1">
      <alignment vertical="center"/>
    </xf>
    <xf numFmtId="0" fontId="34" fillId="27" borderId="16" xfId="30" applyNumberFormat="1" applyFont="1" applyFill="1" applyBorder="1" applyAlignment="1" applyProtection="1">
      <alignment vertical="center"/>
    </xf>
    <xf numFmtId="0" fontId="34" fillId="0" borderId="16" xfId="30" applyNumberFormat="1" applyFont="1" applyBorder="1" applyAlignment="1" applyProtection="1">
      <alignment horizontal="center" vertical="center" wrapText="1"/>
    </xf>
    <xf numFmtId="0" fontId="34" fillId="3" borderId="16" xfId="30" applyNumberFormat="1" applyFont="1" applyFill="1" applyBorder="1" applyAlignment="1" applyProtection="1">
      <alignment horizontal="center" vertical="center" wrapText="1"/>
    </xf>
    <xf numFmtId="4" fontId="42" fillId="27" borderId="19" xfId="43" applyNumberFormat="1" applyFont="1" applyFill="1" applyBorder="1" applyAlignment="1">
      <alignment horizontal="center" vertical="center" wrapText="1"/>
    </xf>
    <xf numFmtId="4" fontId="42" fillId="29" borderId="19" xfId="43" applyNumberFormat="1" applyFont="1" applyFill="1" applyBorder="1" applyAlignment="1">
      <alignment horizontal="center" vertical="center" wrapText="1"/>
    </xf>
    <xf numFmtId="4" fontId="43" fillId="25" borderId="19" xfId="43" applyNumberFormat="1" applyFont="1" applyFill="1" applyBorder="1" applyAlignment="1">
      <alignment horizontal="center" vertical="center" wrapText="1"/>
    </xf>
    <xf numFmtId="4" fontId="43" fillId="25" borderId="0" xfId="43" applyNumberFormat="1" applyFont="1" applyFill="1" applyBorder="1" applyAlignment="1">
      <alignment horizontal="center" vertical="center" wrapText="1"/>
    </xf>
    <xf numFmtId="164" fontId="33" fillId="0" borderId="0" xfId="30" applyNumberFormat="1" applyFont="1" applyBorder="1" applyAlignment="1" applyProtection="1">
      <alignment vertical="center"/>
    </xf>
    <xf numFmtId="0" fontId="45" fillId="26" borderId="16" xfId="30" applyNumberFormat="1" applyFont="1" applyFill="1" applyBorder="1" applyAlignment="1" applyProtection="1">
      <alignment horizontal="center" vertical="center" wrapText="1"/>
    </xf>
    <xf numFmtId="0" fontId="40" fillId="0" borderId="20" xfId="30" applyNumberFormat="1" applyFont="1" applyBorder="1" applyAlignment="1" applyProtection="1">
      <alignment horizontal="center" vertical="center"/>
    </xf>
    <xf numFmtId="0" fontId="40" fillId="0" borderId="20" xfId="30" applyNumberFormat="1" applyFont="1" applyBorder="1" applyAlignment="1" applyProtection="1">
      <alignment horizontal="center" vertical="center" wrapText="1"/>
    </xf>
    <xf numFmtId="167" fontId="35" fillId="26" borderId="21" xfId="30" applyNumberFormat="1" applyFont="1" applyFill="1" applyBorder="1" applyAlignment="1" applyProtection="1">
      <alignment vertical="center"/>
    </xf>
    <xf numFmtId="167" fontId="46" fillId="26" borderId="13" xfId="30" applyNumberFormat="1" applyFont="1" applyFill="1" applyBorder="1" applyAlignment="1" applyProtection="1">
      <alignment vertical="center"/>
    </xf>
    <xf numFmtId="167" fontId="46" fillId="26" borderId="13" xfId="30" applyNumberFormat="1" applyFont="1" applyFill="1" applyBorder="1" applyAlignment="1" applyProtection="1">
      <alignment horizontal="center" vertical="center"/>
    </xf>
    <xf numFmtId="167" fontId="46" fillId="26" borderId="22" xfId="30" applyNumberFormat="1" applyFont="1" applyFill="1" applyBorder="1" applyAlignment="1" applyProtection="1">
      <alignment vertical="center"/>
    </xf>
    <xf numFmtId="167" fontId="47" fillId="0" borderId="23" xfId="30" applyNumberFormat="1" applyFont="1" applyBorder="1" applyAlignment="1" applyProtection="1">
      <alignment horizontal="center" vertical="center" wrapText="1"/>
    </xf>
    <xf numFmtId="0" fontId="47" fillId="0" borderId="23" xfId="30" applyNumberFormat="1" applyFont="1" applyBorder="1" applyAlignment="1" applyProtection="1">
      <alignment horizontal="center" vertical="center" wrapText="1"/>
    </xf>
    <xf numFmtId="167" fontId="35" fillId="0" borderId="21" xfId="30" applyNumberFormat="1" applyFont="1" applyFill="1" applyBorder="1" applyAlignment="1" applyProtection="1">
      <alignment vertical="center"/>
    </xf>
    <xf numFmtId="167" fontId="46" fillId="0" borderId="13" xfId="30" applyNumberFormat="1" applyFont="1" applyFill="1" applyBorder="1" applyAlignment="1" applyProtection="1">
      <alignment vertical="center"/>
    </xf>
    <xf numFmtId="167" fontId="46" fillId="0" borderId="22" xfId="30" applyNumberFormat="1" applyFont="1" applyFill="1" applyBorder="1" applyAlignment="1" applyProtection="1">
      <alignment vertical="center"/>
    </xf>
    <xf numFmtId="0" fontId="40" fillId="0" borderId="0" xfId="30" applyNumberFormat="1" applyFont="1" applyBorder="1" applyAlignment="1" applyProtection="1">
      <alignment horizontal="center" vertical="center"/>
    </xf>
    <xf numFmtId="0" fontId="40" fillId="0" borderId="0" xfId="30" applyNumberFormat="1" applyFont="1" applyBorder="1" applyAlignment="1" applyProtection="1">
      <alignment horizontal="center" vertical="center" wrapText="1"/>
    </xf>
    <xf numFmtId="0" fontId="47" fillId="0" borderId="24" xfId="30" applyNumberFormat="1" applyFont="1" applyBorder="1" applyAlignment="1" applyProtection="1">
      <alignment horizontal="center" vertical="center" wrapText="1"/>
    </xf>
    <xf numFmtId="167" fontId="35" fillId="0" borderId="25" xfId="30" applyNumberFormat="1" applyFont="1" applyFill="1" applyBorder="1" applyAlignment="1" applyProtection="1">
      <alignment vertical="center"/>
    </xf>
    <xf numFmtId="167" fontId="46" fillId="0" borderId="2" xfId="30" applyNumberFormat="1" applyFont="1" applyFill="1" applyBorder="1" applyAlignment="1" applyProtection="1">
      <alignment vertical="center"/>
    </xf>
    <xf numFmtId="167" fontId="46" fillId="0" borderId="26" xfId="30" applyNumberFormat="1" applyFont="1" applyFill="1" applyBorder="1" applyAlignment="1" applyProtection="1">
      <alignment vertical="center"/>
    </xf>
    <xf numFmtId="167" fontId="46" fillId="0" borderId="26" xfId="30" applyNumberFormat="1" applyFont="1" applyFill="1" applyBorder="1" applyAlignment="1" applyProtection="1">
      <alignment vertical="center" wrapText="1"/>
    </xf>
    <xf numFmtId="164" fontId="33" fillId="0" borderId="0" xfId="30" applyNumberFormat="1" applyFont="1" applyFill="1" applyBorder="1" applyAlignment="1" applyProtection="1">
      <alignment vertical="center"/>
    </xf>
    <xf numFmtId="167" fontId="47" fillId="0" borderId="23" xfId="30" applyNumberFormat="1" applyFont="1" applyFill="1" applyBorder="1" applyAlignment="1" applyProtection="1">
      <alignment horizontal="center" vertical="center" wrapText="1"/>
    </xf>
    <xf numFmtId="0" fontId="40" fillId="0" borderId="0" xfId="30" applyNumberFormat="1" applyFont="1" applyFill="1" applyBorder="1" applyAlignment="1" applyProtection="1">
      <alignment horizontal="center" vertical="center"/>
    </xf>
    <xf numFmtId="0" fontId="40" fillId="0" borderId="0" xfId="30" applyNumberFormat="1" applyFont="1" applyFill="1" applyBorder="1" applyAlignment="1" applyProtection="1">
      <alignment horizontal="center" vertical="center" wrapText="1"/>
    </xf>
    <xf numFmtId="0" fontId="47" fillId="0" borderId="24" xfId="30" applyNumberFormat="1" applyFont="1" applyFill="1" applyBorder="1" applyAlignment="1" applyProtection="1">
      <alignment horizontal="center" vertical="center" wrapText="1"/>
    </xf>
    <xf numFmtId="0" fontId="33" fillId="0" borderId="0" xfId="30" applyNumberFormat="1" applyFont="1" applyFill="1" applyBorder="1" applyAlignment="1" applyProtection="1">
      <alignment vertical="center"/>
    </xf>
    <xf numFmtId="167" fontId="47" fillId="0" borderId="24" xfId="30" applyNumberFormat="1" applyFont="1" applyBorder="1" applyAlignment="1" applyProtection="1">
      <alignment horizontal="center" vertical="center" wrapText="1"/>
    </xf>
    <xf numFmtId="0" fontId="48" fillId="0" borderId="0" xfId="30" applyNumberFormat="1" applyFont="1" applyBorder="1" applyAlignment="1" applyProtection="1">
      <alignment horizontal="center" vertical="center"/>
    </xf>
    <xf numFmtId="0" fontId="48" fillId="0" borderId="0" xfId="30" applyNumberFormat="1" applyFont="1" applyBorder="1" applyAlignment="1" applyProtection="1">
      <alignment horizontal="center" vertical="center" wrapText="1"/>
    </xf>
    <xf numFmtId="167" fontId="33" fillId="0" borderId="0" xfId="30" applyNumberFormat="1" applyFont="1" applyBorder="1" applyAlignment="1" applyProtection="1">
      <alignment vertical="center"/>
    </xf>
    <xf numFmtId="0" fontId="34" fillId="0" borderId="27" xfId="30" applyNumberFormat="1" applyFont="1" applyBorder="1" applyAlignment="1" applyProtection="1">
      <alignment vertical="center"/>
    </xf>
    <xf numFmtId="0" fontId="35" fillId="0" borderId="28" xfId="30" applyNumberFormat="1" applyFont="1" applyBorder="1" applyAlignment="1" applyProtection="1">
      <alignment vertical="center"/>
    </xf>
    <xf numFmtId="167" fontId="35" fillId="0" borderId="16" xfId="30" applyNumberFormat="1" applyFont="1" applyBorder="1" applyAlignment="1" applyProtection="1">
      <alignment vertical="center"/>
    </xf>
    <xf numFmtId="0" fontId="34" fillId="0" borderId="16" xfId="30" applyNumberFormat="1" applyFont="1" applyBorder="1" applyAlignment="1" applyProtection="1">
      <alignment vertical="center" wrapText="1"/>
    </xf>
    <xf numFmtId="167" fontId="49" fillId="0" borderId="2" xfId="30" applyNumberFormat="1" applyFont="1" applyFill="1" applyBorder="1" applyAlignment="1" applyProtection="1">
      <alignment vertical="center"/>
    </xf>
    <xf numFmtId="0" fontId="33" fillId="0" borderId="0" xfId="30" applyNumberFormat="1" applyFont="1" applyBorder="1" applyAlignment="1" applyProtection="1">
      <alignment horizontal="center" vertical="center"/>
    </xf>
    <xf numFmtId="0" fontId="50" fillId="0" borderId="0" xfId="30" applyNumberFormat="1" applyFont="1" applyBorder="1" applyAlignment="1" applyProtection="1">
      <alignment horizontal="right" vertical="center" wrapText="1"/>
    </xf>
    <xf numFmtId="0" fontId="51" fillId="0" borderId="0" xfId="30" applyNumberFormat="1" applyFont="1" applyBorder="1" applyAlignment="1" applyProtection="1">
      <alignment horizontal="center" vertical="center"/>
    </xf>
    <xf numFmtId="0" fontId="52" fillId="0" borderId="0" xfId="30" applyNumberFormat="1" applyFont="1" applyBorder="1" applyAlignment="1" applyProtection="1">
      <alignment vertical="center"/>
    </xf>
    <xf numFmtId="0" fontId="53" fillId="24" borderId="15" xfId="30" applyNumberFormat="1" applyFont="1" applyFill="1" applyBorder="1" applyAlignment="1" applyProtection="1">
      <alignment horizontal="left" vertical="center"/>
    </xf>
    <xf numFmtId="0" fontId="33" fillId="0" borderId="1" xfId="30" applyNumberFormat="1" applyFont="1" applyBorder="1" applyAlignment="1" applyProtection="1">
      <alignment vertical="center"/>
    </xf>
    <xf numFmtId="0" fontId="53" fillId="26" borderId="3" xfId="30" applyNumberFormat="1" applyFont="1" applyFill="1" applyBorder="1" applyAlignment="1" applyProtection="1">
      <alignment horizontal="left" vertical="center"/>
    </xf>
    <xf numFmtId="0" fontId="33" fillId="26" borderId="15" xfId="30" applyNumberFormat="1" applyFont="1" applyFill="1" applyBorder="1" applyAlignment="1" applyProtection="1">
      <alignment horizontal="center" vertical="center"/>
    </xf>
    <xf numFmtId="0" fontId="53" fillId="26" borderId="1" xfId="30" applyNumberFormat="1" applyFont="1" applyFill="1" applyBorder="1" applyAlignment="1" applyProtection="1">
      <alignment horizontal="left" vertical="center"/>
    </xf>
    <xf numFmtId="0" fontId="33" fillId="26" borderId="15" xfId="30" applyNumberFormat="1" applyFont="1" applyFill="1" applyBorder="1" applyAlignment="1" applyProtection="1">
      <alignment vertical="center"/>
    </xf>
    <xf numFmtId="0" fontId="33" fillId="0" borderId="15" xfId="30" applyNumberFormat="1" applyFont="1" applyBorder="1" applyAlignment="1" applyProtection="1">
      <alignment vertical="center"/>
    </xf>
    <xf numFmtId="0" fontId="52" fillId="26" borderId="15" xfId="30" applyNumberFormat="1" applyFont="1" applyFill="1" applyBorder="1" applyAlignment="1" applyProtection="1">
      <alignment vertical="center"/>
    </xf>
    <xf numFmtId="167" fontId="51" fillId="0" borderId="0" xfId="30" applyNumberFormat="1" applyFont="1" applyBorder="1" applyAlignment="1" applyProtection="1">
      <alignment vertical="center"/>
    </xf>
    <xf numFmtId="0" fontId="54" fillId="0" borderId="0" xfId="30" applyNumberFormat="1" applyFont="1" applyBorder="1" applyAlignment="1" applyProtection="1">
      <alignment vertical="center"/>
    </xf>
    <xf numFmtId="0" fontId="51" fillId="0" borderId="0" xfId="30" applyNumberFormat="1" applyFont="1" applyBorder="1" applyAlignment="1" applyProtection="1">
      <alignment vertical="center"/>
    </xf>
    <xf numFmtId="0" fontId="55" fillId="0" borderId="0" xfId="30" applyNumberFormat="1" applyFont="1" applyBorder="1" applyAlignment="1" applyProtection="1">
      <alignment horizontal="center" vertical="center" wrapText="1"/>
    </xf>
    <xf numFmtId="0" fontId="40" fillId="0" borderId="20" xfId="30" applyNumberFormat="1" applyFont="1" applyBorder="1" applyAlignment="1" applyProtection="1">
      <alignment vertical="center"/>
    </xf>
    <xf numFmtId="0" fontId="40" fillId="0" borderId="30" xfId="30" applyNumberFormat="1" applyFont="1" applyBorder="1" applyAlignment="1" applyProtection="1">
      <alignment vertical="center"/>
    </xf>
    <xf numFmtId="0" fontId="34" fillId="33" borderId="20" xfId="30" applyNumberFormat="1" applyFont="1" applyFill="1" applyBorder="1" applyAlignment="1" applyProtection="1">
      <alignment vertical="center"/>
    </xf>
    <xf numFmtId="0" fontId="56" fillId="0" borderId="20" xfId="30" applyNumberFormat="1" applyFont="1" applyBorder="1" applyAlignment="1" applyProtection="1">
      <alignment vertical="center"/>
    </xf>
    <xf numFmtId="0" fontId="40" fillId="0" borderId="15" xfId="30" applyNumberFormat="1" applyFont="1" applyBorder="1" applyAlignment="1" applyProtection="1">
      <alignment vertical="center"/>
    </xf>
    <xf numFmtId="0" fontId="40" fillId="0" borderId="17" xfId="30" applyNumberFormat="1" applyFont="1" applyBorder="1" applyAlignment="1" applyProtection="1">
      <alignment vertical="center"/>
    </xf>
    <xf numFmtId="0" fontId="34" fillId="33" borderId="0" xfId="30" applyNumberFormat="1" applyFont="1" applyFill="1" applyBorder="1" applyAlignment="1" applyProtection="1">
      <alignment vertical="center"/>
    </xf>
    <xf numFmtId="0" fontId="40" fillId="0" borderId="0" xfId="30" applyNumberFormat="1" applyFont="1" applyBorder="1" applyAlignment="1" applyProtection="1">
      <alignment vertical="center"/>
    </xf>
    <xf numFmtId="0" fontId="40" fillId="0" borderId="34" xfId="30" applyNumberFormat="1" applyFont="1" applyBorder="1" applyAlignment="1" applyProtection="1">
      <alignment vertical="center"/>
    </xf>
    <xf numFmtId="0" fontId="40" fillId="31" borderId="18" xfId="30" applyNumberFormat="1" applyFont="1" applyFill="1" applyBorder="1" applyAlignment="1" applyProtection="1">
      <alignment horizontal="center" vertical="center" wrapText="1"/>
    </xf>
    <xf numFmtId="0" fontId="40" fillId="0" borderId="18" xfId="30" applyNumberFormat="1" applyFont="1" applyBorder="1" applyAlignment="1" applyProtection="1">
      <alignment horizontal="center" vertical="center" wrapText="1"/>
    </xf>
    <xf numFmtId="0" fontId="40" fillId="32" borderId="18" xfId="30" applyNumberFormat="1" applyFont="1" applyFill="1" applyBorder="1" applyAlignment="1" applyProtection="1">
      <alignment horizontal="center" vertical="center" wrapText="1"/>
    </xf>
    <xf numFmtId="4" fontId="5" fillId="35" borderId="19" xfId="43" applyNumberFormat="1" applyFont="1" applyFill="1" applyBorder="1" applyAlignment="1">
      <alignment horizontal="center" vertical="center" wrapText="1"/>
    </xf>
    <xf numFmtId="0" fontId="40" fillId="36" borderId="18" xfId="30" applyNumberFormat="1" applyFont="1" applyFill="1" applyBorder="1" applyAlignment="1" applyProtection="1">
      <alignment horizontal="center" vertical="center" wrapText="1"/>
    </xf>
    <xf numFmtId="167" fontId="49" fillId="37" borderId="2" xfId="30" applyNumberFormat="1" applyFont="1" applyFill="1" applyBorder="1" applyAlignment="1" applyProtection="1">
      <alignment horizontal="center" vertical="center" wrapText="1"/>
    </xf>
    <xf numFmtId="167" fontId="49" fillId="37" borderId="0" xfId="30" applyNumberFormat="1" applyFont="1" applyFill="1" applyBorder="1" applyAlignment="1" applyProtection="1">
      <alignment horizontal="center" vertical="center" wrapText="1"/>
    </xf>
    <xf numFmtId="0" fontId="45" fillId="24" borderId="23" xfId="30" applyNumberFormat="1" applyFont="1" applyFill="1" applyBorder="1" applyAlignment="1" applyProtection="1">
      <alignment horizontal="center" vertical="center" wrapText="1"/>
    </xf>
    <xf numFmtId="167" fontId="35" fillId="0" borderId="21" xfId="30" applyNumberFormat="1" applyFont="1" applyBorder="1" applyAlignment="1" applyProtection="1">
      <alignment vertical="center"/>
    </xf>
    <xf numFmtId="167" fontId="46" fillId="0" borderId="13" xfId="30" applyNumberFormat="1" applyFont="1" applyBorder="1" applyAlignment="1" applyProtection="1">
      <alignment vertical="center"/>
    </xf>
    <xf numFmtId="167" fontId="46" fillId="0" borderId="35" xfId="30" applyNumberFormat="1" applyFont="1" applyBorder="1" applyAlignment="1" applyProtection="1">
      <alignment vertical="center"/>
    </xf>
    <xf numFmtId="4" fontId="7" fillId="0" borderId="36" xfId="43" applyNumberFormat="1" applyFont="1" applyFill="1" applyBorder="1" applyAlignment="1">
      <alignment vertical="center" wrapText="1"/>
    </xf>
    <xf numFmtId="167" fontId="46" fillId="0" borderId="21" xfId="30" applyNumberFormat="1" applyFont="1" applyBorder="1" applyAlignment="1" applyProtection="1">
      <alignment vertical="center"/>
    </xf>
    <xf numFmtId="167" fontId="46" fillId="0" borderId="22" xfId="30" applyNumberFormat="1" applyFont="1" applyBorder="1" applyAlignment="1" applyProtection="1">
      <alignment vertical="center"/>
    </xf>
    <xf numFmtId="167" fontId="57" fillId="0" borderId="37" xfId="30" applyNumberFormat="1" applyFont="1" applyBorder="1" applyAlignment="1" applyProtection="1">
      <alignment vertical="center"/>
    </xf>
    <xf numFmtId="167" fontId="16" fillId="0" borderId="22" xfId="30" applyNumberFormat="1" applyFont="1" applyBorder="1" applyAlignment="1" applyProtection="1">
      <alignment vertical="center"/>
    </xf>
    <xf numFmtId="164" fontId="58" fillId="0" borderId="0" xfId="30" applyNumberFormat="1" applyFont="1" applyFill="1" applyBorder="1" applyAlignment="1" applyProtection="1">
      <alignment vertical="center"/>
    </xf>
    <xf numFmtId="167" fontId="47" fillId="0" borderId="2" xfId="30" applyNumberFormat="1" applyFont="1" applyFill="1" applyBorder="1" applyAlignment="1" applyProtection="1">
      <alignment horizontal="center" vertical="center" wrapText="1"/>
    </xf>
    <xf numFmtId="0" fontId="46" fillId="0" borderId="0" xfId="30" applyNumberFormat="1" applyFont="1" applyFill="1" applyBorder="1" applyAlignment="1" applyProtection="1">
      <alignment horizontal="center" vertical="center"/>
    </xf>
    <xf numFmtId="0" fontId="58" fillId="0" borderId="38" xfId="30" applyNumberFormat="1" applyFont="1" applyFill="1" applyBorder="1" applyAlignment="1" applyProtection="1">
      <alignment horizontal="center" vertical="center"/>
    </xf>
    <xf numFmtId="0" fontId="58" fillId="0" borderId="39" xfId="30" applyNumberFormat="1" applyFont="1" applyFill="1" applyBorder="1" applyAlignment="1" applyProtection="1">
      <alignment horizontal="center" vertical="center"/>
    </xf>
    <xf numFmtId="167" fontId="58" fillId="0" borderId="40" xfId="30" applyNumberFormat="1" applyFont="1" applyFill="1" applyBorder="1" applyAlignment="1" applyProtection="1">
      <alignment horizontal="center" vertical="center"/>
    </xf>
    <xf numFmtId="167" fontId="59" fillId="0" borderId="23" xfId="30" applyNumberFormat="1" applyFont="1" applyFill="1" applyBorder="1" applyAlignment="1" applyProtection="1">
      <alignment horizontal="center" vertical="center"/>
    </xf>
    <xf numFmtId="0" fontId="35" fillId="0" borderId="23" xfId="30" applyNumberFormat="1" applyFont="1" applyFill="1" applyBorder="1" applyAlignment="1" applyProtection="1">
      <alignment horizontal="center" vertical="center" wrapText="1"/>
    </xf>
    <xf numFmtId="167" fontId="55" fillId="0" borderId="23" xfId="30" applyNumberFormat="1" applyFont="1" applyFill="1" applyBorder="1" applyAlignment="1" applyProtection="1">
      <alignment vertical="center"/>
    </xf>
    <xf numFmtId="167" fontId="46" fillId="0" borderId="23" xfId="30" applyNumberFormat="1" applyFont="1" applyFill="1" applyBorder="1" applyAlignment="1" applyProtection="1">
      <alignment vertical="center"/>
    </xf>
    <xf numFmtId="167" fontId="46" fillId="0" borderId="38" xfId="30" applyNumberFormat="1" applyFont="1" applyFill="1" applyBorder="1" applyAlignment="1" applyProtection="1">
      <alignment vertical="center"/>
    </xf>
    <xf numFmtId="167" fontId="46" fillId="0" borderId="39" xfId="30" applyNumberFormat="1" applyFont="1" applyFill="1" applyBorder="1" applyAlignment="1" applyProtection="1">
      <alignment vertical="center"/>
    </xf>
    <xf numFmtId="167" fontId="46" fillId="0" borderId="40" xfId="30" applyNumberFormat="1" applyFont="1" applyFill="1" applyBorder="1" applyAlignment="1" applyProtection="1">
      <alignment vertical="center"/>
    </xf>
    <xf numFmtId="167" fontId="46" fillId="0" borderId="41" xfId="30" applyNumberFormat="1" applyFont="1" applyFill="1" applyBorder="1" applyAlignment="1" applyProtection="1">
      <alignment vertical="center"/>
    </xf>
    <xf numFmtId="4" fontId="60" fillId="0" borderId="42" xfId="43" applyNumberFormat="1" applyFont="1" applyFill="1" applyBorder="1" applyAlignment="1">
      <alignment vertical="center" wrapText="1"/>
    </xf>
    <xf numFmtId="167" fontId="39" fillId="0" borderId="23" xfId="30" applyNumberFormat="1" applyFont="1" applyFill="1" applyBorder="1" applyAlignment="1" applyProtection="1">
      <alignment vertical="center"/>
    </xf>
    <xf numFmtId="0" fontId="16" fillId="0" borderId="0" xfId="30" applyNumberFormat="1" applyFont="1" applyFill="1" applyBorder="1" applyAlignment="1" applyProtection="1">
      <alignment vertical="center"/>
    </xf>
    <xf numFmtId="0" fontId="58" fillId="0" borderId="0" xfId="30" applyNumberFormat="1" applyFont="1" applyFill="1" applyBorder="1" applyAlignment="1" applyProtection="1">
      <alignment vertical="center"/>
    </xf>
    <xf numFmtId="167" fontId="46" fillId="0" borderId="24" xfId="30" applyNumberFormat="1" applyFont="1" applyFill="1" applyBorder="1" applyAlignment="1" applyProtection="1">
      <alignment vertical="center"/>
    </xf>
    <xf numFmtId="0" fontId="58" fillId="0" borderId="43" xfId="30" applyNumberFormat="1" applyFont="1" applyFill="1" applyBorder="1" applyAlignment="1" applyProtection="1">
      <alignment horizontal="center" vertical="center"/>
    </xf>
    <xf numFmtId="0" fontId="58" fillId="0" borderId="2" xfId="30" applyNumberFormat="1" applyFont="1" applyFill="1" applyBorder="1" applyAlignment="1" applyProtection="1">
      <alignment horizontal="center" vertical="center"/>
    </xf>
    <xf numFmtId="167" fontId="58" fillId="0" borderId="26" xfId="30" applyNumberFormat="1" applyFont="1" applyFill="1" applyBorder="1" applyAlignment="1" applyProtection="1">
      <alignment horizontal="center" vertical="center"/>
    </xf>
    <xf numFmtId="167" fontId="59" fillId="0" borderId="24" xfId="30" applyNumberFormat="1" applyFont="1" applyFill="1" applyBorder="1" applyAlignment="1" applyProtection="1">
      <alignment horizontal="center" vertical="center"/>
    </xf>
    <xf numFmtId="0" fontId="35" fillId="0" borderId="24" xfId="30" applyNumberFormat="1" applyFont="1" applyFill="1" applyBorder="1" applyAlignment="1" applyProtection="1">
      <alignment horizontal="center" vertical="center" wrapText="1"/>
    </xf>
    <xf numFmtId="167" fontId="55" fillId="0" borderId="24" xfId="30" applyNumberFormat="1" applyFont="1" applyFill="1" applyBorder="1" applyAlignment="1" applyProtection="1">
      <alignment vertical="center"/>
    </xf>
    <xf numFmtId="167" fontId="46" fillId="0" borderId="43" xfId="30" applyNumberFormat="1" applyFont="1" applyFill="1" applyBorder="1" applyAlignment="1" applyProtection="1">
      <alignment vertical="center"/>
    </xf>
    <xf numFmtId="167" fontId="46" fillId="0" borderId="44" xfId="30" applyNumberFormat="1" applyFont="1" applyFill="1" applyBorder="1" applyAlignment="1" applyProtection="1">
      <alignment vertical="center"/>
    </xf>
    <xf numFmtId="167" fontId="39" fillId="0" borderId="24" xfId="30" applyNumberFormat="1" applyFont="1" applyFill="1" applyBorder="1" applyAlignment="1" applyProtection="1">
      <alignment vertical="center"/>
    </xf>
    <xf numFmtId="0" fontId="59" fillId="0" borderId="24" xfId="30" applyNumberFormat="1" applyFont="1" applyFill="1" applyBorder="1" applyAlignment="1" applyProtection="1">
      <alignment horizontal="center" vertical="center"/>
    </xf>
    <xf numFmtId="0" fontId="61" fillId="0" borderId="0" xfId="30" applyNumberFormat="1" applyFont="1" applyFill="1" applyBorder="1" applyAlignment="1" applyProtection="1">
      <alignment vertical="center" wrapText="1"/>
    </xf>
    <xf numFmtId="167" fontId="46" fillId="0" borderId="45" xfId="43" applyNumberFormat="1" applyFont="1" applyFill="1" applyBorder="1" applyAlignment="1">
      <alignment vertical="center"/>
    </xf>
    <xf numFmtId="167" fontId="46" fillId="0" borderId="46" xfId="43" applyNumberFormat="1" applyFont="1" applyFill="1" applyBorder="1" applyAlignment="1">
      <alignment vertical="center"/>
    </xf>
    <xf numFmtId="167" fontId="16" fillId="0" borderId="24" xfId="30" applyNumberFormat="1" applyFont="1" applyFill="1" applyBorder="1" applyAlignment="1" applyProtection="1">
      <alignment vertical="center"/>
    </xf>
    <xf numFmtId="0" fontId="62" fillId="0" borderId="0" xfId="30" applyNumberFormat="1" applyFont="1" applyFill="1" applyBorder="1" applyAlignment="1" applyProtection="1">
      <alignment vertical="center" wrapText="1"/>
    </xf>
    <xf numFmtId="0" fontId="62" fillId="0" borderId="2" xfId="43" applyFont="1" applyFill="1" applyBorder="1" applyAlignment="1">
      <alignment horizontal="left" vertical="top" wrapText="1"/>
    </xf>
    <xf numFmtId="167" fontId="46" fillId="0" borderId="14" xfId="30" applyNumberFormat="1" applyFont="1" applyFill="1" applyBorder="1" applyAlignment="1" applyProtection="1">
      <alignment vertical="center"/>
    </xf>
    <xf numFmtId="0" fontId="59" fillId="0" borderId="0" xfId="30" applyNumberFormat="1" applyFont="1" applyFill="1" applyBorder="1" applyAlignment="1" applyProtection="1">
      <alignment vertical="center" wrapText="1"/>
    </xf>
    <xf numFmtId="164" fontId="16" fillId="0" borderId="0" xfId="30" applyNumberFormat="1" applyFont="1" applyFill="1" applyBorder="1" applyAlignment="1" applyProtection="1">
      <alignment vertical="center"/>
    </xf>
    <xf numFmtId="167" fontId="46" fillId="0" borderId="47" xfId="30" applyNumberFormat="1" applyFont="1" applyFill="1" applyBorder="1" applyAlignment="1" applyProtection="1">
      <alignment vertical="center"/>
    </xf>
    <xf numFmtId="167" fontId="46" fillId="0" borderId="50" xfId="30" applyNumberFormat="1" applyFont="1" applyFill="1" applyBorder="1" applyAlignment="1" applyProtection="1">
      <alignment vertical="center"/>
    </xf>
    <xf numFmtId="167" fontId="46" fillId="0" borderId="51" xfId="30" applyNumberFormat="1" applyFont="1" applyFill="1" applyBorder="1" applyAlignment="1" applyProtection="1">
      <alignment vertical="center"/>
    </xf>
    <xf numFmtId="0" fontId="57" fillId="0" borderId="0" xfId="30" applyNumberFormat="1" applyFont="1" applyBorder="1" applyAlignment="1" applyProtection="1">
      <alignment horizontal="center" vertical="center" wrapText="1"/>
    </xf>
    <xf numFmtId="167" fontId="57" fillId="0" borderId="0" xfId="30" applyNumberFormat="1" applyFont="1" applyBorder="1" applyAlignment="1" applyProtection="1">
      <alignment vertical="center"/>
    </xf>
    <xf numFmtId="167" fontId="52" fillId="0" borderId="0" xfId="30" applyNumberFormat="1" applyFont="1" applyBorder="1" applyAlignment="1" applyProtection="1">
      <alignment vertical="center"/>
    </xf>
    <xf numFmtId="0" fontId="36" fillId="0" borderId="0" xfId="30" applyNumberFormat="1" applyFont="1" applyBorder="1" applyAlignment="1" applyProtection="1">
      <alignment horizontal="center" vertical="center"/>
    </xf>
    <xf numFmtId="0" fontId="53" fillId="24" borderId="3" xfId="30" applyNumberFormat="1" applyFont="1" applyFill="1" applyBorder="1" applyAlignment="1" applyProtection="1">
      <alignment horizontal="left" vertical="center"/>
    </xf>
    <xf numFmtId="0" fontId="33" fillId="24" borderId="1" xfId="30" applyNumberFormat="1" applyFont="1" applyFill="1" applyBorder="1" applyAlignment="1" applyProtection="1">
      <alignment horizontal="center" vertical="center"/>
    </xf>
    <xf numFmtId="0" fontId="53" fillId="24" borderId="1" xfId="30" applyNumberFormat="1" applyFont="1" applyFill="1" applyBorder="1" applyAlignment="1" applyProtection="1">
      <alignment horizontal="left" vertical="center"/>
    </xf>
    <xf numFmtId="0" fontId="33" fillId="24" borderId="15" xfId="30" applyNumberFormat="1" applyFont="1" applyFill="1" applyBorder="1" applyAlignment="1" applyProtection="1">
      <alignment vertical="center"/>
    </xf>
    <xf numFmtId="0" fontId="53" fillId="0" borderId="0" xfId="30" applyNumberFormat="1" applyFont="1" applyBorder="1" applyAlignment="1" applyProtection="1">
      <alignment horizontal="left" vertical="center"/>
    </xf>
    <xf numFmtId="0" fontId="63" fillId="0" borderId="0" xfId="30" applyNumberFormat="1" applyFont="1" applyBorder="1" applyAlignment="1" applyProtection="1">
      <alignment horizontal="center" vertical="center"/>
    </xf>
    <xf numFmtId="0" fontId="63" fillId="0" borderId="0" xfId="30" applyNumberFormat="1" applyFont="1" applyBorder="1" applyAlignment="1" applyProtection="1">
      <alignment vertical="center"/>
    </xf>
    <xf numFmtId="0" fontId="63" fillId="0" borderId="0" xfId="30" applyNumberFormat="1" applyFont="1" applyBorder="1" applyAlignment="1" applyProtection="1">
      <alignment horizontal="left" vertical="center"/>
    </xf>
    <xf numFmtId="0" fontId="64" fillId="0" borderId="0" xfId="30" applyNumberFormat="1" applyFont="1" applyBorder="1" applyAlignment="1" applyProtection="1">
      <alignment horizontal="center" vertical="center"/>
    </xf>
    <xf numFmtId="0" fontId="64" fillId="0" borderId="0" xfId="30" applyNumberFormat="1" applyFont="1" applyBorder="1" applyAlignment="1" applyProtection="1">
      <alignment vertical="center"/>
    </xf>
    <xf numFmtId="0" fontId="45" fillId="6" borderId="3" xfId="30" applyNumberFormat="1" applyFont="1" applyFill="1" applyBorder="1" applyAlignment="1" applyProtection="1">
      <alignment horizontal="center" vertical="center" wrapText="1"/>
    </xf>
    <xf numFmtId="0" fontId="40" fillId="0" borderId="16" xfId="30" applyNumberFormat="1" applyFont="1" applyBorder="1" applyAlignment="1" applyProtection="1">
      <alignment horizontal="center" vertical="center" wrapText="1"/>
    </xf>
    <xf numFmtId="0" fontId="40" fillId="21" borderId="20" xfId="30" applyNumberFormat="1" applyFont="1" applyFill="1" applyBorder="1" applyAlignment="1" applyProtection="1">
      <alignment vertical="center"/>
    </xf>
    <xf numFmtId="0" fontId="40" fillId="25" borderId="20" xfId="30" applyNumberFormat="1" applyFont="1" applyFill="1" applyBorder="1" applyAlignment="1" applyProtection="1">
      <alignment vertical="center"/>
    </xf>
    <xf numFmtId="0" fontId="40" fillId="25" borderId="30" xfId="30" applyNumberFormat="1" applyFont="1" applyFill="1" applyBorder="1" applyAlignment="1" applyProtection="1">
      <alignment vertical="center"/>
    </xf>
    <xf numFmtId="0" fontId="56" fillId="27" borderId="20" xfId="30" applyNumberFormat="1" applyFont="1" applyFill="1" applyBorder="1" applyAlignment="1" applyProtection="1">
      <alignment vertical="center"/>
    </xf>
    <xf numFmtId="0" fontId="40" fillId="27" borderId="30" xfId="30" applyNumberFormat="1" applyFont="1" applyFill="1" applyBorder="1" applyAlignment="1" applyProtection="1">
      <alignment vertical="center"/>
    </xf>
    <xf numFmtId="167" fontId="47" fillId="0" borderId="52" xfId="30" applyNumberFormat="1" applyFont="1" applyBorder="1" applyAlignment="1" applyProtection="1">
      <alignment horizontal="center" vertical="center" wrapText="1"/>
    </xf>
    <xf numFmtId="0" fontId="40" fillId="0" borderId="33" xfId="30" applyNumberFormat="1" applyFont="1" applyBorder="1" applyAlignment="1" applyProtection="1">
      <alignment vertical="center"/>
    </xf>
    <xf numFmtId="0" fontId="40" fillId="21" borderId="0" xfId="30" applyNumberFormat="1" applyFont="1" applyFill="1" applyBorder="1" applyAlignment="1" applyProtection="1">
      <alignment vertical="center"/>
    </xf>
    <xf numFmtId="0" fontId="40" fillId="4" borderId="15" xfId="30" applyNumberFormat="1" applyFont="1" applyFill="1" applyBorder="1" applyAlignment="1" applyProtection="1">
      <alignment vertical="center"/>
    </xf>
    <xf numFmtId="0" fontId="40" fillId="4" borderId="0" xfId="30" applyNumberFormat="1" applyFont="1" applyFill="1" applyBorder="1" applyAlignment="1" applyProtection="1">
      <alignment vertical="center"/>
    </xf>
    <xf numFmtId="0" fontId="40" fillId="28" borderId="15" xfId="30" applyNumberFormat="1" applyFont="1" applyFill="1" applyBorder="1" applyAlignment="1" applyProtection="1">
      <alignment vertical="center"/>
    </xf>
    <xf numFmtId="0" fontId="40" fillId="28" borderId="17" xfId="30" applyNumberFormat="1" applyFont="1" applyFill="1" applyBorder="1" applyAlignment="1" applyProtection="1">
      <alignment vertical="center"/>
    </xf>
    <xf numFmtId="0" fontId="40" fillId="27" borderId="0" xfId="30" applyNumberFormat="1" applyFont="1" applyFill="1" applyBorder="1" applyAlignment="1" applyProtection="1">
      <alignment vertical="center"/>
    </xf>
    <xf numFmtId="0" fontId="40" fillId="27" borderId="34" xfId="30" applyNumberFormat="1" applyFont="1" applyFill="1" applyBorder="1" applyAlignment="1" applyProtection="1">
      <alignment vertical="center"/>
    </xf>
    <xf numFmtId="167" fontId="47" fillId="0" borderId="29" xfId="30" applyNumberFormat="1" applyFont="1" applyBorder="1" applyAlignment="1" applyProtection="1">
      <alignment horizontal="center" vertical="center" wrapText="1"/>
    </xf>
    <xf numFmtId="0" fontId="40" fillId="3" borderId="16" xfId="30" applyNumberFormat="1" applyFont="1" applyFill="1" applyBorder="1" applyAlignment="1" applyProtection="1">
      <alignment horizontal="center" vertical="center" wrapText="1"/>
    </xf>
    <xf numFmtId="0" fontId="40" fillId="30" borderId="16" xfId="30" applyNumberFormat="1" applyFont="1" applyFill="1" applyBorder="1" applyAlignment="1" applyProtection="1">
      <alignment horizontal="center" vertical="center" wrapText="1"/>
    </xf>
    <xf numFmtId="4" fontId="5" fillId="22" borderId="19" xfId="43" applyNumberFormat="1" applyFont="1" applyFill="1" applyBorder="1" applyAlignment="1">
      <alignment horizontal="center" vertical="center" wrapText="1"/>
    </xf>
    <xf numFmtId="0" fontId="40" fillId="0" borderId="30" xfId="30" applyNumberFormat="1" applyFont="1" applyBorder="1" applyAlignment="1" applyProtection="1">
      <alignment horizontal="center" vertical="center" wrapText="1"/>
    </xf>
    <xf numFmtId="0" fontId="44" fillId="27" borderId="15" xfId="30" applyNumberFormat="1" applyFont="1" applyFill="1" applyBorder="1" applyAlignment="1" applyProtection="1">
      <alignment vertical="center" wrapText="1"/>
    </xf>
    <xf numFmtId="0" fontId="61" fillId="0" borderId="2" xfId="30" applyNumberFormat="1" applyFont="1" applyFill="1" applyBorder="1" applyAlignment="1" applyProtection="1">
      <alignment horizontal="center" vertical="center" wrapText="1"/>
    </xf>
    <xf numFmtId="0" fontId="58" fillId="0" borderId="44" xfId="30" applyNumberFormat="1" applyFont="1" applyFill="1" applyBorder="1" applyAlignment="1" applyProtection="1">
      <alignment vertical="center"/>
    </xf>
    <xf numFmtId="167" fontId="47" fillId="0" borderId="44" xfId="30" applyNumberFormat="1" applyFont="1" applyFill="1" applyBorder="1" applyAlignment="1" applyProtection="1">
      <alignment horizontal="center" vertical="center" wrapText="1"/>
    </xf>
    <xf numFmtId="0" fontId="59" fillId="0" borderId="13" xfId="30" applyNumberFormat="1" applyFont="1" applyFill="1" applyBorder="1" applyAlignment="1" applyProtection="1">
      <alignment horizontal="center" vertical="center"/>
    </xf>
    <xf numFmtId="0" fontId="61" fillId="0" borderId="25" xfId="30" applyNumberFormat="1" applyFont="1" applyFill="1" applyBorder="1" applyAlignment="1" applyProtection="1">
      <alignment horizontal="center" vertical="center" wrapText="1"/>
    </xf>
    <xf numFmtId="0" fontId="65" fillId="0" borderId="53" xfId="30" applyNumberFormat="1" applyFont="1" applyFill="1" applyBorder="1" applyAlignment="1" applyProtection="1">
      <alignment horizontal="center" vertical="center"/>
    </xf>
    <xf numFmtId="167" fontId="55" fillId="0" borderId="54" xfId="30" applyNumberFormat="1" applyFont="1" applyFill="1" applyBorder="1" applyAlignment="1" applyProtection="1">
      <alignment vertical="center"/>
    </xf>
    <xf numFmtId="167" fontId="46" fillId="0" borderId="53" xfId="30" applyNumberFormat="1" applyFont="1" applyFill="1" applyBorder="1" applyAlignment="1" applyProtection="1">
      <alignment vertical="center"/>
    </xf>
    <xf numFmtId="167" fontId="46" fillId="0" borderId="25" xfId="30" applyNumberFormat="1" applyFont="1" applyFill="1" applyBorder="1" applyAlignment="1" applyProtection="1">
      <alignment vertical="center"/>
    </xf>
    <xf numFmtId="0" fontId="46" fillId="0" borderId="2" xfId="30" applyNumberFormat="1" applyFont="1" applyFill="1" applyBorder="1" applyAlignment="1" applyProtection="1">
      <alignment vertical="center"/>
    </xf>
    <xf numFmtId="0" fontId="46" fillId="0" borderId="26" xfId="30" applyNumberFormat="1" applyFont="1" applyFill="1" applyBorder="1" applyAlignment="1" applyProtection="1">
      <alignment vertical="center"/>
    </xf>
    <xf numFmtId="0" fontId="46" fillId="0" borderId="44" xfId="30" applyNumberFormat="1" applyFont="1" applyFill="1" applyBorder="1" applyAlignment="1" applyProtection="1">
      <alignment vertical="center"/>
    </xf>
    <xf numFmtId="0" fontId="46" fillId="0" borderId="25" xfId="30" applyNumberFormat="1" applyFont="1" applyFill="1" applyBorder="1" applyAlignment="1" applyProtection="1">
      <alignment vertical="center"/>
    </xf>
    <xf numFmtId="0" fontId="46" fillId="0" borderId="14" xfId="30" applyNumberFormat="1" applyFont="1" applyFill="1" applyBorder="1" applyAlignment="1" applyProtection="1">
      <alignment vertical="center"/>
    </xf>
    <xf numFmtId="0" fontId="46" fillId="0" borderId="35" xfId="30" applyNumberFormat="1" applyFont="1" applyFill="1" applyBorder="1" applyAlignment="1" applyProtection="1">
      <alignment vertical="center"/>
    </xf>
    <xf numFmtId="0" fontId="46" fillId="0" borderId="13" xfId="30" applyNumberFormat="1" applyFont="1" applyFill="1" applyBorder="1" applyAlignment="1" applyProtection="1">
      <alignment vertical="center"/>
    </xf>
    <xf numFmtId="167" fontId="46" fillId="0" borderId="56" xfId="30" applyNumberFormat="1" applyFont="1" applyFill="1" applyBorder="1" applyAlignment="1" applyProtection="1">
      <alignment vertical="center"/>
    </xf>
    <xf numFmtId="167" fontId="46" fillId="0" borderId="57" xfId="30" applyNumberFormat="1" applyFont="1" applyFill="1" applyBorder="1" applyAlignment="1" applyProtection="1">
      <alignment vertical="center"/>
    </xf>
    <xf numFmtId="167" fontId="46" fillId="0" borderId="58" xfId="30" applyNumberFormat="1" applyFont="1" applyFill="1" applyBorder="1" applyAlignment="1" applyProtection="1">
      <alignment vertical="center"/>
    </xf>
    <xf numFmtId="0" fontId="59" fillId="0" borderId="25" xfId="30" applyNumberFormat="1" applyFont="1" applyFill="1" applyBorder="1" applyAlignment="1" applyProtection="1">
      <alignment horizontal="center" vertical="center"/>
    </xf>
    <xf numFmtId="167" fontId="46" fillId="0" borderId="59" xfId="30" applyNumberFormat="1" applyFont="1" applyFill="1" applyBorder="1" applyAlignment="1" applyProtection="1">
      <alignment vertical="center"/>
    </xf>
    <xf numFmtId="4" fontId="46" fillId="0" borderId="2" xfId="30" applyNumberFormat="1" applyFont="1" applyFill="1" applyBorder="1" applyAlignment="1" applyProtection="1">
      <alignment vertical="center"/>
    </xf>
    <xf numFmtId="167" fontId="46" fillId="0" borderId="55" xfId="30" applyNumberFormat="1" applyFont="1" applyFill="1" applyBorder="1" applyAlignment="1" applyProtection="1">
      <alignment vertical="center"/>
    </xf>
    <xf numFmtId="0" fontId="58" fillId="0" borderId="26" xfId="30" applyNumberFormat="1" applyFont="1" applyFill="1" applyBorder="1" applyAlignment="1" applyProtection="1">
      <alignment horizontal="center" vertical="center"/>
    </xf>
    <xf numFmtId="167" fontId="46" fillId="0" borderId="24" xfId="30" applyNumberFormat="1" applyFont="1" applyFill="1" applyBorder="1" applyAlignment="1" applyProtection="1">
      <alignment horizontal="center" vertical="center"/>
    </xf>
    <xf numFmtId="167" fontId="55" fillId="0" borderId="60" xfId="30" applyNumberFormat="1" applyFont="1" applyFill="1" applyBorder="1" applyAlignment="1" applyProtection="1">
      <alignment vertical="center"/>
    </xf>
    <xf numFmtId="167" fontId="46" fillId="0" borderId="61" xfId="30" applyNumberFormat="1" applyFont="1" applyFill="1" applyBorder="1" applyAlignment="1" applyProtection="1">
      <alignment vertical="center"/>
    </xf>
    <xf numFmtId="0" fontId="46" fillId="0" borderId="50" xfId="30" applyNumberFormat="1" applyFont="1" applyFill="1" applyBorder="1" applyAlignment="1" applyProtection="1">
      <alignment vertical="center"/>
    </xf>
    <xf numFmtId="0" fontId="46" fillId="0" borderId="49" xfId="30" applyNumberFormat="1" applyFont="1" applyFill="1" applyBorder="1" applyAlignment="1" applyProtection="1">
      <alignment vertical="center"/>
    </xf>
    <xf numFmtId="0" fontId="35" fillId="0" borderId="48" xfId="30" applyNumberFormat="1" applyFont="1" applyFill="1" applyBorder="1" applyAlignment="1" applyProtection="1">
      <alignment horizontal="center" vertical="center" wrapText="1"/>
    </xf>
    <xf numFmtId="167" fontId="55" fillId="0" borderId="56" xfId="30" applyNumberFormat="1" applyFont="1" applyFill="1" applyBorder="1" applyAlignment="1" applyProtection="1">
      <alignment vertical="center"/>
    </xf>
    <xf numFmtId="0" fontId="46" fillId="0" borderId="56" xfId="30" applyNumberFormat="1" applyFont="1" applyFill="1" applyBorder="1" applyAlignment="1" applyProtection="1">
      <alignment vertical="center"/>
    </xf>
    <xf numFmtId="167" fontId="46" fillId="0" borderId="12" xfId="30" applyNumberFormat="1" applyFont="1" applyFill="1" applyBorder="1" applyAlignment="1" applyProtection="1">
      <alignment vertical="center"/>
    </xf>
    <xf numFmtId="0" fontId="58" fillId="0" borderId="0" xfId="30" applyNumberFormat="1" applyFont="1" applyFill="1" applyBorder="1" applyAlignment="1" applyProtection="1">
      <alignment horizontal="center" vertical="center"/>
    </xf>
    <xf numFmtId="167" fontId="47" fillId="0" borderId="0" xfId="30" applyNumberFormat="1" applyFont="1" applyFill="1" applyBorder="1" applyAlignment="1" applyProtection="1">
      <alignment horizontal="center" vertical="center" wrapText="1"/>
    </xf>
    <xf numFmtId="0" fontId="61" fillId="0" borderId="0" xfId="30" applyNumberFormat="1" applyFont="1" applyFill="1" applyBorder="1" applyAlignment="1" applyProtection="1">
      <alignment horizontal="center" vertical="center" wrapText="1"/>
    </xf>
    <xf numFmtId="0" fontId="59" fillId="0" borderId="0" xfId="30" applyNumberFormat="1" applyFont="1" applyFill="1" applyBorder="1" applyAlignment="1" applyProtection="1">
      <alignment horizontal="center" vertical="center"/>
    </xf>
    <xf numFmtId="0" fontId="65" fillId="0" borderId="0" xfId="30" applyNumberFormat="1" applyFont="1" applyFill="1" applyBorder="1" applyAlignment="1" applyProtection="1">
      <alignment horizontal="center" vertical="center"/>
    </xf>
    <xf numFmtId="167" fontId="46" fillId="0" borderId="62" xfId="30" applyNumberFormat="1" applyFont="1" applyFill="1" applyBorder="1" applyAlignment="1" applyProtection="1">
      <alignment vertical="center"/>
    </xf>
    <xf numFmtId="0" fontId="46" fillId="0" borderId="55" xfId="30" applyNumberFormat="1" applyFont="1" applyFill="1" applyBorder="1" applyAlignment="1" applyProtection="1">
      <alignment vertical="center"/>
    </xf>
    <xf numFmtId="0" fontId="46" fillId="0" borderId="63" xfId="30" applyNumberFormat="1" applyFont="1" applyFill="1" applyBorder="1" applyAlignment="1" applyProtection="1">
      <alignment vertical="center"/>
    </xf>
    <xf numFmtId="167" fontId="46" fillId="0" borderId="63" xfId="30" applyNumberFormat="1" applyFont="1" applyFill="1" applyBorder="1" applyAlignment="1" applyProtection="1">
      <alignment vertical="center"/>
    </xf>
    <xf numFmtId="167" fontId="55" fillId="0" borderId="0" xfId="30" applyNumberFormat="1" applyFont="1" applyFill="1" applyBorder="1" applyAlignment="1" applyProtection="1">
      <alignment vertical="center"/>
    </xf>
    <xf numFmtId="0" fontId="59" fillId="0" borderId="2" xfId="30" applyNumberFormat="1" applyFont="1" applyFill="1" applyBorder="1" applyAlignment="1" applyProtection="1">
      <alignment horizontal="center" vertical="center"/>
    </xf>
    <xf numFmtId="0" fontId="35" fillId="0" borderId="64" xfId="30" applyNumberFormat="1" applyFont="1" applyFill="1" applyBorder="1" applyAlignment="1" applyProtection="1">
      <alignment vertical="center" wrapText="1"/>
    </xf>
    <xf numFmtId="167" fontId="55" fillId="0" borderId="19" xfId="30" applyNumberFormat="1" applyFont="1" applyFill="1" applyBorder="1" applyAlignment="1" applyProtection="1">
      <alignment vertical="center"/>
    </xf>
    <xf numFmtId="167" fontId="54" fillId="0" borderId="0" xfId="30" applyNumberFormat="1" applyFont="1" applyBorder="1" applyAlignment="1" applyProtection="1">
      <alignment vertical="center"/>
    </xf>
    <xf numFmtId="0" fontId="34" fillId="0" borderId="0" xfId="30" applyNumberFormat="1" applyFont="1" applyBorder="1" applyAlignment="1" applyProtection="1">
      <alignment vertical="center" wrapText="1"/>
    </xf>
    <xf numFmtId="167" fontId="47" fillId="0" borderId="0" xfId="30" applyNumberFormat="1" applyFont="1" applyBorder="1" applyAlignment="1" applyProtection="1">
      <alignment horizontal="center" vertical="center" wrapText="1"/>
    </xf>
    <xf numFmtId="0" fontId="33" fillId="0" borderId="22" xfId="30" applyNumberFormat="1" applyFont="1" applyBorder="1" applyAlignment="1" applyProtection="1">
      <alignment horizontal="center" vertical="center"/>
    </xf>
    <xf numFmtId="0" fontId="33" fillId="0" borderId="13" xfId="30" applyNumberFormat="1" applyFont="1" applyBorder="1" applyAlignment="1" applyProtection="1">
      <alignment vertical="center"/>
    </xf>
    <xf numFmtId="167" fontId="47" fillId="0" borderId="2" xfId="30" applyNumberFormat="1" applyFont="1" applyBorder="1" applyAlignment="1" applyProtection="1">
      <alignment horizontal="center" vertical="center" wrapText="1"/>
    </xf>
    <xf numFmtId="0" fontId="36" fillId="0" borderId="2" xfId="30" applyNumberFormat="1" applyFont="1" applyBorder="1" applyAlignment="1" applyProtection="1">
      <alignment horizontal="center" vertical="center"/>
    </xf>
    <xf numFmtId="0" fontId="66" fillId="0" borderId="2" xfId="30" applyNumberFormat="1" applyFont="1" applyBorder="1" applyAlignment="1" applyProtection="1">
      <alignment horizontal="center" vertical="center" wrapText="1"/>
    </xf>
    <xf numFmtId="0" fontId="67" fillId="0" borderId="2" xfId="30" applyNumberFormat="1" applyFont="1" applyBorder="1" applyAlignment="1" applyProtection="1">
      <alignment horizontal="center" vertical="center"/>
    </xf>
    <xf numFmtId="0" fontId="35" fillId="0" borderId="2" xfId="30" applyNumberFormat="1" applyFont="1" applyBorder="1" applyAlignment="1" applyProtection="1">
      <alignment horizontal="center" vertical="center" wrapText="1"/>
    </xf>
    <xf numFmtId="167" fontId="55" fillId="0" borderId="2" xfId="30" applyNumberFormat="1" applyFont="1" applyBorder="1" applyAlignment="1" applyProtection="1">
      <alignment vertical="center"/>
    </xf>
    <xf numFmtId="167" fontId="46" fillId="0" borderId="2" xfId="30" applyNumberFormat="1" applyFont="1" applyBorder="1" applyAlignment="1" applyProtection="1">
      <alignment vertical="center"/>
    </xf>
    <xf numFmtId="167" fontId="51" fillId="0" borderId="2" xfId="30" applyNumberFormat="1" applyFont="1" applyBorder="1" applyAlignment="1" applyProtection="1">
      <alignment vertical="center"/>
    </xf>
    <xf numFmtId="0" fontId="51" fillId="0" borderId="2" xfId="30" applyNumberFormat="1" applyFont="1" applyBorder="1" applyAlignment="1" applyProtection="1">
      <alignment vertical="center"/>
    </xf>
    <xf numFmtId="164" fontId="51" fillId="0" borderId="2" xfId="44" applyFont="1" applyBorder="1" applyAlignment="1" applyProtection="1">
      <alignment vertical="center"/>
    </xf>
    <xf numFmtId="0" fontId="33" fillId="0" borderId="26" xfId="30" applyNumberFormat="1" applyFont="1" applyBorder="1" applyAlignment="1" applyProtection="1">
      <alignment horizontal="center" vertical="center"/>
    </xf>
    <xf numFmtId="0" fontId="33" fillId="0" borderId="2" xfId="30" applyNumberFormat="1" applyFont="1" applyBorder="1" applyAlignment="1" applyProtection="1">
      <alignment vertical="center"/>
    </xf>
    <xf numFmtId="0" fontId="36" fillId="0" borderId="13" xfId="30" applyNumberFormat="1" applyFont="1" applyBorder="1" applyAlignment="1" applyProtection="1">
      <alignment horizontal="center" vertical="center"/>
    </xf>
    <xf numFmtId="0" fontId="66" fillId="0" borderId="21" xfId="30" applyNumberFormat="1" applyFont="1" applyBorder="1" applyAlignment="1" applyProtection="1">
      <alignment horizontal="center" vertical="center" wrapText="1"/>
    </xf>
    <xf numFmtId="0" fontId="66" fillId="0" borderId="13" xfId="30" applyNumberFormat="1" applyFont="1" applyBorder="1" applyAlignment="1" applyProtection="1">
      <alignment horizontal="center" vertical="center" wrapText="1"/>
    </xf>
    <xf numFmtId="0" fontId="36" fillId="0" borderId="65" xfId="30" applyNumberFormat="1" applyFont="1" applyBorder="1" applyAlignment="1" applyProtection="1">
      <alignment horizontal="center" vertical="center"/>
    </xf>
    <xf numFmtId="0" fontId="67" fillId="0" borderId="65" xfId="30" applyNumberFormat="1" applyFont="1" applyBorder="1" applyAlignment="1" applyProtection="1">
      <alignment horizontal="center" vertical="center"/>
    </xf>
    <xf numFmtId="0" fontId="35" fillId="0" borderId="65" xfId="30" applyNumberFormat="1" applyFont="1" applyBorder="1" applyAlignment="1" applyProtection="1">
      <alignment horizontal="center" vertical="center" wrapText="1"/>
    </xf>
    <xf numFmtId="167" fontId="55" fillId="0" borderId="65" xfId="30" applyNumberFormat="1" applyFont="1" applyBorder="1" applyAlignment="1" applyProtection="1">
      <alignment vertical="center"/>
    </xf>
    <xf numFmtId="167" fontId="46" fillId="0" borderId="65" xfId="30" applyNumberFormat="1" applyFont="1" applyBorder="1" applyAlignment="1" applyProtection="1">
      <alignment vertical="center"/>
    </xf>
    <xf numFmtId="167" fontId="51" fillId="0" borderId="13" xfId="30" applyNumberFormat="1" applyFont="1" applyBorder="1" applyAlignment="1" applyProtection="1">
      <alignment vertical="center"/>
    </xf>
    <xf numFmtId="0" fontId="51" fillId="0" borderId="13" xfId="30" applyNumberFormat="1" applyFont="1" applyBorder="1" applyAlignment="1" applyProtection="1">
      <alignment vertical="center"/>
    </xf>
    <xf numFmtId="0" fontId="51" fillId="0" borderId="22" xfId="30" applyNumberFormat="1" applyFont="1" applyBorder="1" applyAlignment="1" applyProtection="1">
      <alignment vertical="center"/>
    </xf>
    <xf numFmtId="0" fontId="51" fillId="0" borderId="35" xfId="30" applyNumberFormat="1" applyFont="1" applyBorder="1" applyAlignment="1" applyProtection="1">
      <alignment vertical="center"/>
    </xf>
    <xf numFmtId="167" fontId="51" fillId="0" borderId="55" xfId="30" applyNumberFormat="1" applyFont="1" applyBorder="1" applyAlignment="1" applyProtection="1">
      <alignment vertical="center"/>
    </xf>
    <xf numFmtId="167" fontId="51" fillId="0" borderId="57" xfId="30" applyNumberFormat="1" applyFont="1" applyBorder="1" applyAlignment="1" applyProtection="1">
      <alignment vertical="center"/>
    </xf>
    <xf numFmtId="167" fontId="51" fillId="0" borderId="22" xfId="30" applyNumberFormat="1" applyFont="1" applyBorder="1" applyAlignment="1" applyProtection="1">
      <alignment vertical="center"/>
    </xf>
    <xf numFmtId="0" fontId="33" fillId="0" borderId="26" xfId="30" applyNumberFormat="1" applyFont="1" applyFill="1" applyBorder="1" applyAlignment="1" applyProtection="1">
      <alignment horizontal="center" vertical="center"/>
    </xf>
    <xf numFmtId="0" fontId="33" fillId="0" borderId="2" xfId="30" applyNumberFormat="1" applyFont="1" applyFill="1" applyBorder="1" applyAlignment="1" applyProtection="1">
      <alignment vertical="center"/>
    </xf>
    <xf numFmtId="0" fontId="36" fillId="0" borderId="2" xfId="30" applyNumberFormat="1" applyFont="1" applyFill="1" applyBorder="1" applyAlignment="1" applyProtection="1">
      <alignment horizontal="center" vertical="center"/>
    </xf>
    <xf numFmtId="0" fontId="66" fillId="0" borderId="25" xfId="30" applyNumberFormat="1" applyFont="1" applyFill="1" applyBorder="1" applyAlignment="1" applyProtection="1">
      <alignment horizontal="center" vertical="center" wrapText="1"/>
    </xf>
    <xf numFmtId="0" fontId="66" fillId="0" borderId="2" xfId="30" applyNumberFormat="1" applyFont="1" applyFill="1" applyBorder="1" applyAlignment="1" applyProtection="1">
      <alignment horizontal="center" vertical="center" wrapText="1"/>
    </xf>
    <xf numFmtId="0" fontId="36" fillId="0" borderId="24" xfId="30" applyNumberFormat="1" applyFont="1" applyFill="1" applyBorder="1" applyAlignment="1" applyProtection="1">
      <alignment horizontal="center" vertical="center"/>
    </xf>
    <xf numFmtId="0" fontId="67" fillId="0" borderId="24" xfId="30" applyNumberFormat="1" applyFont="1" applyFill="1" applyBorder="1" applyAlignment="1" applyProtection="1">
      <alignment horizontal="center" vertical="center"/>
    </xf>
    <xf numFmtId="167" fontId="51" fillId="0" borderId="2" xfId="30" applyNumberFormat="1" applyFont="1" applyFill="1" applyBorder="1" applyAlignment="1" applyProtection="1">
      <alignment vertical="center"/>
    </xf>
    <xf numFmtId="0" fontId="51" fillId="0" borderId="2" xfId="30" applyNumberFormat="1" applyFont="1" applyFill="1" applyBorder="1" applyAlignment="1" applyProtection="1">
      <alignment vertical="center"/>
    </xf>
    <xf numFmtId="0" fontId="51" fillId="0" borderId="26" xfId="30" applyNumberFormat="1" applyFont="1" applyFill="1" applyBorder="1" applyAlignment="1" applyProtection="1">
      <alignment vertical="center"/>
    </xf>
    <xf numFmtId="0" fontId="51" fillId="0" borderId="44" xfId="30" applyNumberFormat="1" applyFont="1" applyFill="1" applyBorder="1" applyAlignment="1" applyProtection="1">
      <alignment vertical="center"/>
    </xf>
    <xf numFmtId="167" fontId="51" fillId="0" borderId="14" xfId="30" applyNumberFormat="1" applyFont="1" applyFill="1" applyBorder="1" applyAlignment="1" applyProtection="1">
      <alignment vertical="center"/>
    </xf>
    <xf numFmtId="167" fontId="51" fillId="0" borderId="43" xfId="30" applyNumberFormat="1" applyFont="1" applyFill="1" applyBorder="1" applyAlignment="1" applyProtection="1">
      <alignment vertical="center"/>
    </xf>
    <xf numFmtId="167" fontId="51" fillId="0" borderId="26" xfId="30" applyNumberFormat="1" applyFont="1" applyFill="1" applyBorder="1" applyAlignment="1" applyProtection="1">
      <alignment vertical="center"/>
    </xf>
    <xf numFmtId="0" fontId="35" fillId="7" borderId="24" xfId="30" applyNumberFormat="1" applyFont="1" applyFill="1" applyBorder="1" applyAlignment="1" applyProtection="1">
      <alignment horizontal="center" vertical="center" wrapText="1"/>
    </xf>
    <xf numFmtId="164" fontId="51" fillId="0" borderId="2" xfId="44" applyFont="1" applyFill="1" applyBorder="1" applyAlignment="1" applyProtection="1">
      <alignment vertical="center"/>
    </xf>
    <xf numFmtId="4" fontId="43" fillId="40" borderId="19" xfId="43" applyNumberFormat="1" applyFont="1" applyFill="1" applyBorder="1" applyAlignment="1">
      <alignment horizontal="center" vertical="center" wrapText="1"/>
    </xf>
    <xf numFmtId="0" fontId="68" fillId="0" borderId="0" xfId="45"/>
    <xf numFmtId="167" fontId="69" fillId="0" borderId="0" xfId="46" applyNumberFormat="1" applyFont="1" applyBorder="1" applyAlignment="1" applyProtection="1">
      <alignment vertical="center"/>
    </xf>
    <xf numFmtId="0" fontId="70" fillId="0" borderId="0" xfId="46" applyNumberFormat="1" applyFont="1" applyBorder="1" applyAlignment="1" applyProtection="1">
      <alignment horizontal="right" vertical="center" wrapText="1"/>
    </xf>
    <xf numFmtId="0" fontId="69" fillId="0" borderId="66" xfId="46" applyNumberFormat="1" applyFont="1" applyBorder="1" applyAlignment="1" applyProtection="1">
      <alignment vertical="center"/>
    </xf>
    <xf numFmtId="165" fontId="16" fillId="0" borderId="0" xfId="46"/>
    <xf numFmtId="0" fontId="71" fillId="41" borderId="67" xfId="46" applyNumberFormat="1" applyFont="1" applyFill="1" applyBorder="1" applyAlignment="1" applyProtection="1">
      <alignment horizontal="left" vertical="center"/>
    </xf>
    <xf numFmtId="0" fontId="71" fillId="41" borderId="68" xfId="46" applyNumberFormat="1" applyFont="1" applyFill="1" applyBorder="1" applyAlignment="1" applyProtection="1">
      <alignment horizontal="left" vertical="center"/>
    </xf>
    <xf numFmtId="0" fontId="69" fillId="41" borderId="67" xfId="46" applyNumberFormat="1" applyFont="1" applyFill="1" applyBorder="1" applyAlignment="1" applyProtection="1">
      <alignment horizontal="center" vertical="center"/>
    </xf>
    <xf numFmtId="0" fontId="71" fillId="41" borderId="66" xfId="46" applyNumberFormat="1" applyFont="1" applyFill="1" applyBorder="1" applyAlignment="1" applyProtection="1">
      <alignment horizontal="left" vertical="center"/>
    </xf>
    <xf numFmtId="0" fontId="69" fillId="41" borderId="67" xfId="46" applyNumberFormat="1" applyFont="1" applyFill="1" applyBorder="1" applyAlignment="1" applyProtection="1">
      <alignment vertical="center"/>
    </xf>
    <xf numFmtId="0" fontId="69" fillId="41" borderId="69" xfId="46" applyNumberFormat="1" applyFont="1" applyFill="1" applyBorder="1" applyAlignment="1" applyProtection="1">
      <alignment vertical="center"/>
    </xf>
    <xf numFmtId="0" fontId="72" fillId="0" borderId="0" xfId="46" applyNumberFormat="1" applyFont="1" applyBorder="1" applyAlignment="1" applyProtection="1">
      <alignment vertical="center"/>
    </xf>
    <xf numFmtId="0" fontId="71" fillId="0" borderId="0" xfId="46" applyNumberFormat="1" applyFont="1" applyBorder="1" applyAlignment="1" applyProtection="1">
      <alignment horizontal="left" vertical="center"/>
    </xf>
    <xf numFmtId="0" fontId="69" fillId="0" borderId="0" xfId="46" applyNumberFormat="1" applyFont="1" applyBorder="1" applyAlignment="1" applyProtection="1">
      <alignment horizontal="center" vertical="center"/>
    </xf>
    <xf numFmtId="0" fontId="69" fillId="0" borderId="0" xfId="46" applyNumberFormat="1" applyFont="1" applyBorder="1" applyAlignment="1" applyProtection="1">
      <alignment vertical="center"/>
    </xf>
    <xf numFmtId="0" fontId="72" fillId="0" borderId="0" xfId="46" applyNumberFormat="1" applyFont="1" applyBorder="1" applyAlignment="1" applyProtection="1">
      <alignment horizontal="center" vertical="center"/>
    </xf>
    <xf numFmtId="167" fontId="72" fillId="0" borderId="0" xfId="46" applyNumberFormat="1" applyFont="1" applyBorder="1" applyAlignment="1" applyProtection="1">
      <alignment horizontal="center" vertical="center"/>
    </xf>
    <xf numFmtId="0" fontId="73" fillId="0" borderId="0" xfId="46" applyNumberFormat="1" applyFont="1" applyBorder="1" applyAlignment="1" applyProtection="1">
      <alignment horizontal="center" vertical="center"/>
    </xf>
    <xf numFmtId="0" fontId="74" fillId="44" borderId="70" xfId="46" applyNumberFormat="1" applyFont="1" applyFill="1" applyBorder="1" applyAlignment="1" applyProtection="1">
      <alignment horizontal="center" vertical="center" wrapText="1"/>
    </xf>
    <xf numFmtId="0" fontId="74" fillId="44" borderId="68" xfId="46" applyNumberFormat="1" applyFont="1" applyFill="1" applyBorder="1" applyAlignment="1" applyProtection="1">
      <alignment horizontal="center" vertical="center" wrapText="1"/>
    </xf>
    <xf numFmtId="0" fontId="74" fillId="0" borderId="69" xfId="46" applyNumberFormat="1" applyFont="1" applyBorder="1" applyAlignment="1" applyProtection="1">
      <alignment horizontal="center" vertical="center" wrapText="1"/>
    </xf>
    <xf numFmtId="0" fontId="74" fillId="0" borderId="70" xfId="46" applyNumberFormat="1" applyFont="1" applyBorder="1" applyAlignment="1" applyProtection="1">
      <alignment horizontal="center" vertical="center" wrapText="1"/>
    </xf>
    <xf numFmtId="0" fontId="74" fillId="0" borderId="73" xfId="46" applyNumberFormat="1" applyFont="1" applyBorder="1" applyAlignment="1" applyProtection="1">
      <alignment vertical="center"/>
    </xf>
    <xf numFmtId="0" fontId="74" fillId="0" borderId="0" xfId="46" applyNumberFormat="1" applyFont="1" applyBorder="1" applyAlignment="1" applyProtection="1">
      <alignment vertical="center"/>
    </xf>
    <xf numFmtId="0" fontId="74" fillId="0" borderId="74" xfId="46" applyNumberFormat="1" applyFont="1" applyBorder="1" applyAlignment="1" applyProtection="1">
      <alignment vertical="center"/>
    </xf>
    <xf numFmtId="0" fontId="74" fillId="43" borderId="70" xfId="46" applyNumberFormat="1" applyFont="1" applyFill="1" applyBorder="1" applyAlignment="1" applyProtection="1">
      <alignment horizontal="center" vertical="center" wrapText="1"/>
    </xf>
    <xf numFmtId="0" fontId="74" fillId="30" borderId="70" xfId="46" applyNumberFormat="1" applyFont="1" applyFill="1" applyBorder="1" applyAlignment="1" applyProtection="1">
      <alignment horizontal="center" vertical="center" wrapText="1"/>
    </xf>
    <xf numFmtId="0" fontId="74" fillId="48" borderId="70" xfId="46" applyNumberFormat="1" applyFont="1" applyFill="1" applyBorder="1" applyAlignment="1" applyProtection="1">
      <alignment horizontal="center" vertical="center" wrapText="1"/>
    </xf>
    <xf numFmtId="0" fontId="72" fillId="49" borderId="70" xfId="46" applyNumberFormat="1" applyFont="1" applyFill="1" applyBorder="1" applyAlignment="1" applyProtection="1">
      <alignment horizontal="center" vertical="center" wrapText="1"/>
    </xf>
    <xf numFmtId="0" fontId="74" fillId="0" borderId="68" xfId="46" applyNumberFormat="1" applyFont="1" applyBorder="1" applyAlignment="1" applyProtection="1">
      <alignment horizontal="center" vertical="center" wrapText="1"/>
    </xf>
    <xf numFmtId="4" fontId="75" fillId="50" borderId="75" xfId="45" applyNumberFormat="1" applyFont="1" applyFill="1" applyBorder="1" applyAlignment="1">
      <alignment horizontal="center" vertical="center" wrapText="1"/>
    </xf>
    <xf numFmtId="164" fontId="69" fillId="0" borderId="0" xfId="46" applyNumberFormat="1" applyFont="1" applyBorder="1" applyAlignment="1" applyProtection="1">
      <alignment vertical="center"/>
    </xf>
    <xf numFmtId="0" fontId="45" fillId="51" borderId="70" xfId="46" applyNumberFormat="1" applyFont="1" applyFill="1" applyBorder="1" applyAlignment="1" applyProtection="1">
      <alignment horizontal="center" vertical="center" wrapText="1"/>
    </xf>
    <xf numFmtId="0" fontId="74" fillId="0" borderId="76" xfId="46" applyNumberFormat="1" applyFont="1" applyBorder="1" applyAlignment="1" applyProtection="1">
      <alignment horizontal="center" vertical="center"/>
    </xf>
    <xf numFmtId="0" fontId="74" fillId="0" borderId="76" xfId="46" applyNumberFormat="1" applyFont="1" applyBorder="1" applyAlignment="1" applyProtection="1">
      <alignment horizontal="center" vertical="center" wrapText="1"/>
    </xf>
    <xf numFmtId="0" fontId="45" fillId="41" borderId="77" xfId="46" applyNumberFormat="1" applyFont="1" applyFill="1" applyBorder="1" applyAlignment="1" applyProtection="1">
      <alignment horizontal="center" vertical="center" wrapText="1"/>
    </xf>
    <xf numFmtId="167" fontId="35" fillId="0" borderId="78" xfId="46" applyNumberFormat="1" applyFont="1" applyBorder="1" applyAlignment="1" applyProtection="1">
      <alignment vertical="center"/>
    </xf>
    <xf numFmtId="167" fontId="46" fillId="0" borderId="79" xfId="46" applyNumberFormat="1" applyFont="1" applyBorder="1" applyAlignment="1" applyProtection="1">
      <alignment vertical="center"/>
    </xf>
    <xf numFmtId="167" fontId="46" fillId="0" borderId="80" xfId="46" applyNumberFormat="1" applyFont="1" applyBorder="1" applyAlignment="1" applyProtection="1">
      <alignment vertical="center"/>
    </xf>
    <xf numFmtId="167" fontId="76" fillId="0" borderId="81" xfId="46" applyNumberFormat="1" applyFont="1" applyBorder="1" applyAlignment="1" applyProtection="1">
      <alignment vertical="center"/>
    </xf>
    <xf numFmtId="0" fontId="69" fillId="0" borderId="77" xfId="46" applyNumberFormat="1" applyFont="1" applyBorder="1" applyAlignment="1" applyProtection="1">
      <alignment vertical="center"/>
    </xf>
    <xf numFmtId="0" fontId="58" fillId="0" borderId="0" xfId="46" applyNumberFormat="1" applyFont="1" applyFill="1" applyBorder="1" applyAlignment="1" applyProtection="1">
      <alignment vertical="center"/>
    </xf>
    <xf numFmtId="164" fontId="58" fillId="0" borderId="0" xfId="46" applyNumberFormat="1" applyFont="1" applyFill="1" applyBorder="1" applyAlignment="1" applyProtection="1">
      <alignment vertical="center"/>
    </xf>
    <xf numFmtId="167" fontId="47" fillId="0" borderId="77" xfId="46" applyNumberFormat="1" applyFont="1" applyFill="1" applyBorder="1" applyAlignment="1" applyProtection="1">
      <alignment horizontal="center" vertical="center" wrapText="1"/>
    </xf>
    <xf numFmtId="0" fontId="61" fillId="0" borderId="0" xfId="46" applyNumberFormat="1" applyFont="1" applyFill="1" applyBorder="1" applyAlignment="1" applyProtection="1">
      <alignment horizontal="center" vertical="center"/>
    </xf>
    <xf numFmtId="0" fontId="58" fillId="0" borderId="82" xfId="46" applyNumberFormat="1" applyFont="1" applyFill="1" applyBorder="1" applyAlignment="1" applyProtection="1">
      <alignment horizontal="center" vertical="center"/>
    </xf>
    <xf numFmtId="0" fontId="58" fillId="0" borderId="83" xfId="46" applyNumberFormat="1" applyFont="1" applyFill="1" applyBorder="1" applyAlignment="1" applyProtection="1">
      <alignment horizontal="center" vertical="center"/>
    </xf>
    <xf numFmtId="0" fontId="58" fillId="0" borderId="84" xfId="46" applyNumberFormat="1" applyFont="1" applyFill="1" applyBorder="1" applyAlignment="1" applyProtection="1">
      <alignment horizontal="center" vertical="center"/>
    </xf>
    <xf numFmtId="0" fontId="59" fillId="0" borderId="77" xfId="46" applyNumberFormat="1" applyFont="1" applyFill="1" applyBorder="1" applyAlignment="1" applyProtection="1">
      <alignment horizontal="center" vertical="center"/>
    </xf>
    <xf numFmtId="0" fontId="35" fillId="0" borderId="77" xfId="46" applyNumberFormat="1" applyFont="1" applyFill="1" applyBorder="1" applyAlignment="1" applyProtection="1">
      <alignment horizontal="center" vertical="center" wrapText="1"/>
    </xf>
    <xf numFmtId="167" fontId="55" fillId="0" borderId="77" xfId="46" applyNumberFormat="1" applyFont="1" applyFill="1" applyBorder="1" applyAlignment="1" applyProtection="1">
      <alignment vertical="center"/>
    </xf>
    <xf numFmtId="167" fontId="46" fillId="0" borderId="85" xfId="46" applyNumberFormat="1" applyFont="1" applyFill="1" applyBorder="1" applyAlignment="1" applyProtection="1">
      <alignment vertical="center"/>
    </xf>
    <xf numFmtId="167" fontId="46" fillId="0" borderId="82" xfId="46" applyNumberFormat="1" applyFont="1" applyFill="1" applyBorder="1" applyAlignment="1" applyProtection="1">
      <alignment vertical="center"/>
    </xf>
    <xf numFmtId="167" fontId="46" fillId="0" borderId="83" xfId="46" applyNumberFormat="1" applyFont="1" applyFill="1" applyBorder="1" applyAlignment="1" applyProtection="1">
      <alignment vertical="center"/>
    </xf>
    <xf numFmtId="167" fontId="46" fillId="0" borderId="84" xfId="46" applyNumberFormat="1" applyFont="1" applyFill="1" applyBorder="1" applyAlignment="1" applyProtection="1">
      <alignment vertical="center"/>
    </xf>
    <xf numFmtId="0" fontId="46" fillId="0" borderId="83" xfId="46" applyNumberFormat="1" applyFont="1" applyFill="1" applyBorder="1" applyAlignment="1" applyProtection="1">
      <alignment vertical="center"/>
    </xf>
    <xf numFmtId="0" fontId="46" fillId="0" borderId="84" xfId="46" applyNumberFormat="1" applyFont="1" applyFill="1" applyBorder="1" applyAlignment="1" applyProtection="1">
      <alignment vertical="center"/>
    </xf>
    <xf numFmtId="0" fontId="46" fillId="0" borderId="86" xfId="46" applyNumberFormat="1" applyFont="1" applyFill="1" applyBorder="1" applyAlignment="1" applyProtection="1">
      <alignment vertical="center"/>
    </xf>
    <xf numFmtId="167" fontId="46" fillId="0" borderId="86" xfId="46" applyNumberFormat="1" applyFont="1" applyFill="1" applyBorder="1" applyAlignment="1" applyProtection="1">
      <alignment vertical="center"/>
    </xf>
    <xf numFmtId="167" fontId="46" fillId="0" borderId="87" xfId="46" applyNumberFormat="1" applyFont="1" applyFill="1" applyBorder="1" applyAlignment="1" applyProtection="1">
      <alignment vertical="center"/>
    </xf>
    <xf numFmtId="167" fontId="46" fillId="0" borderId="77" xfId="46" applyNumberFormat="1" applyFont="1" applyFill="1" applyBorder="1" applyAlignment="1" applyProtection="1">
      <alignment vertical="center"/>
    </xf>
    <xf numFmtId="167" fontId="39" fillId="0" borderId="77" xfId="46" applyNumberFormat="1" applyFont="1" applyFill="1" applyBorder="1" applyAlignment="1" applyProtection="1">
      <alignment vertical="center"/>
    </xf>
    <xf numFmtId="0" fontId="58" fillId="0" borderId="77" xfId="46" applyNumberFormat="1" applyFont="1" applyFill="1" applyBorder="1" applyAlignment="1" applyProtection="1">
      <alignment horizontal="center" vertical="center" wrapText="1"/>
    </xf>
    <xf numFmtId="0" fontId="77" fillId="0" borderId="0" xfId="45" applyFont="1" applyFill="1"/>
    <xf numFmtId="0" fontId="58" fillId="0" borderId="88" xfId="46" applyNumberFormat="1" applyFont="1" applyFill="1" applyBorder="1" applyAlignment="1" applyProtection="1">
      <alignment horizontal="center" vertical="center"/>
    </xf>
    <xf numFmtId="0" fontId="58" fillId="0" borderId="72" xfId="46" applyNumberFormat="1" applyFont="1" applyFill="1" applyBorder="1" applyAlignment="1" applyProtection="1">
      <alignment horizontal="center" vertical="center"/>
    </xf>
    <xf numFmtId="0" fontId="58" fillId="0" borderId="89" xfId="46" applyNumberFormat="1" applyFont="1" applyFill="1" applyBorder="1" applyAlignment="1" applyProtection="1">
      <alignment horizontal="center" vertical="center"/>
    </xf>
    <xf numFmtId="0" fontId="59" fillId="0" borderId="90" xfId="46" applyNumberFormat="1" applyFont="1" applyFill="1" applyBorder="1" applyAlignment="1" applyProtection="1">
      <alignment horizontal="center" vertical="center"/>
    </xf>
    <xf numFmtId="0" fontId="35" fillId="0" borderId="90" xfId="46" applyNumberFormat="1" applyFont="1" applyFill="1" applyBorder="1" applyAlignment="1" applyProtection="1">
      <alignment horizontal="center" vertical="center" wrapText="1"/>
    </xf>
    <xf numFmtId="167" fontId="55" fillId="0" borderId="90" xfId="46" applyNumberFormat="1" applyFont="1" applyFill="1" applyBorder="1" applyAlignment="1" applyProtection="1">
      <alignment vertical="center"/>
    </xf>
    <xf numFmtId="167" fontId="46" fillId="0" borderId="91" xfId="46" applyNumberFormat="1" applyFont="1" applyFill="1" applyBorder="1" applyAlignment="1" applyProtection="1">
      <alignment vertical="center"/>
    </xf>
    <xf numFmtId="167" fontId="46" fillId="0" borderId="88" xfId="46" applyNumberFormat="1" applyFont="1" applyFill="1" applyBorder="1" applyAlignment="1" applyProtection="1">
      <alignment vertical="center"/>
    </xf>
    <xf numFmtId="167" fontId="46" fillId="0" borderId="72" xfId="46" applyNumberFormat="1" applyFont="1" applyFill="1" applyBorder="1" applyAlignment="1" applyProtection="1">
      <alignment vertical="center"/>
    </xf>
    <xf numFmtId="167" fontId="46" fillId="0" borderId="89" xfId="46" applyNumberFormat="1" applyFont="1" applyFill="1" applyBorder="1" applyAlignment="1" applyProtection="1">
      <alignment vertical="center"/>
    </xf>
    <xf numFmtId="0" fontId="46" fillId="0" borderId="72" xfId="46" applyNumberFormat="1" applyFont="1" applyFill="1" applyBorder="1" applyAlignment="1" applyProtection="1">
      <alignment vertical="center"/>
    </xf>
    <xf numFmtId="0" fontId="46" fillId="0" borderId="89" xfId="46" applyNumberFormat="1" applyFont="1" applyFill="1" applyBorder="1" applyAlignment="1" applyProtection="1">
      <alignment vertical="center"/>
    </xf>
    <xf numFmtId="0" fontId="46" fillId="0" borderId="92" xfId="46" applyNumberFormat="1" applyFont="1" applyFill="1" applyBorder="1" applyAlignment="1" applyProtection="1">
      <alignment vertical="center"/>
    </xf>
    <xf numFmtId="167" fontId="46" fillId="0" borderId="92" xfId="46" applyNumberFormat="1" applyFont="1" applyFill="1" applyBorder="1" applyAlignment="1" applyProtection="1">
      <alignment vertical="center"/>
    </xf>
    <xf numFmtId="167" fontId="46" fillId="0" borderId="93" xfId="46" applyNumberFormat="1" applyFont="1" applyFill="1" applyBorder="1" applyAlignment="1" applyProtection="1">
      <alignment vertical="center"/>
    </xf>
    <xf numFmtId="167" fontId="46" fillId="0" borderId="90" xfId="46" applyNumberFormat="1" applyFont="1" applyFill="1" applyBorder="1" applyAlignment="1" applyProtection="1">
      <alignment vertical="center"/>
    </xf>
    <xf numFmtId="167" fontId="39" fillId="0" borderId="90" xfId="46" applyNumberFormat="1" applyFont="1" applyFill="1" applyBorder="1" applyAlignment="1" applyProtection="1">
      <alignment vertical="center"/>
    </xf>
    <xf numFmtId="0" fontId="58" fillId="0" borderId="90" xfId="46" applyNumberFormat="1" applyFont="1" applyFill="1" applyBorder="1" applyAlignment="1" applyProtection="1">
      <alignment horizontal="center" vertical="center" wrapText="1"/>
    </xf>
    <xf numFmtId="165" fontId="16" fillId="0" borderId="0" xfId="46" applyFont="1" applyFill="1"/>
    <xf numFmtId="0" fontId="58" fillId="0" borderId="94" xfId="46" applyNumberFormat="1" applyFont="1" applyFill="1" applyBorder="1" applyAlignment="1" applyProtection="1">
      <alignment horizontal="center" vertical="center"/>
    </xf>
    <xf numFmtId="0" fontId="58" fillId="0" borderId="95" xfId="46" applyNumberFormat="1" applyFont="1" applyFill="1" applyBorder="1" applyAlignment="1" applyProtection="1">
      <alignment horizontal="center" vertical="center"/>
    </xf>
    <xf numFmtId="0" fontId="58" fillId="0" borderId="96" xfId="46" applyNumberFormat="1" applyFont="1" applyFill="1" applyBorder="1" applyAlignment="1" applyProtection="1">
      <alignment horizontal="center" vertical="center"/>
    </xf>
    <xf numFmtId="0" fontId="59" fillId="0" borderId="97" xfId="46" applyNumberFormat="1" applyFont="1" applyFill="1" applyBorder="1" applyAlignment="1" applyProtection="1">
      <alignment horizontal="center" vertical="center"/>
    </xf>
    <xf numFmtId="167" fontId="55" fillId="0" borderId="97" xfId="46" applyNumberFormat="1" applyFont="1" applyFill="1" applyBorder="1" applyAlignment="1" applyProtection="1">
      <alignment vertical="center"/>
    </xf>
    <xf numFmtId="167" fontId="46" fillId="0" borderId="98" xfId="46" applyNumberFormat="1" applyFont="1" applyFill="1" applyBorder="1" applyAlignment="1" applyProtection="1">
      <alignment vertical="center"/>
    </xf>
    <xf numFmtId="167" fontId="46" fillId="0" borderId="94" xfId="46" applyNumberFormat="1" applyFont="1" applyFill="1" applyBorder="1" applyAlignment="1" applyProtection="1">
      <alignment vertical="center"/>
    </xf>
    <xf numFmtId="167" fontId="46" fillId="0" borderId="95" xfId="46" applyNumberFormat="1" applyFont="1" applyFill="1" applyBorder="1" applyAlignment="1" applyProtection="1">
      <alignment vertical="center"/>
    </xf>
    <xf numFmtId="0" fontId="46" fillId="0" borderId="95" xfId="46" applyNumberFormat="1" applyFont="1" applyFill="1" applyBorder="1" applyAlignment="1" applyProtection="1">
      <alignment vertical="center"/>
    </xf>
    <xf numFmtId="0" fontId="46" fillId="0" borderId="96" xfId="46" applyNumberFormat="1" applyFont="1" applyFill="1" applyBorder="1" applyAlignment="1" applyProtection="1">
      <alignment vertical="center"/>
    </xf>
    <xf numFmtId="0" fontId="46" fillId="0" borderId="99" xfId="46" applyNumberFormat="1" applyFont="1" applyFill="1" applyBorder="1" applyAlignment="1" applyProtection="1">
      <alignment vertical="center"/>
    </xf>
    <xf numFmtId="167" fontId="46" fillId="0" borderId="99" xfId="46" applyNumberFormat="1" applyFont="1" applyFill="1" applyBorder="1" applyAlignment="1" applyProtection="1">
      <alignment vertical="center"/>
    </xf>
    <xf numFmtId="167" fontId="46" fillId="0" borderId="100" xfId="46" applyNumberFormat="1" applyFont="1" applyFill="1" applyBorder="1" applyAlignment="1" applyProtection="1">
      <alignment vertical="center"/>
    </xf>
    <xf numFmtId="167" fontId="46" fillId="0" borderId="97" xfId="46" applyNumberFormat="1" applyFont="1" applyFill="1" applyBorder="1" applyAlignment="1" applyProtection="1">
      <alignment vertical="center"/>
    </xf>
    <xf numFmtId="167" fontId="39" fillId="0" borderId="97" xfId="46" applyNumberFormat="1" applyFont="1" applyFill="1" applyBorder="1" applyAlignment="1" applyProtection="1">
      <alignment vertical="center"/>
    </xf>
    <xf numFmtId="0" fontId="58" fillId="0" borderId="97" xfId="46" applyNumberFormat="1" applyFont="1" applyFill="1" applyBorder="1" applyAlignment="1" applyProtection="1">
      <alignment horizontal="center" vertical="center" wrapText="1"/>
    </xf>
    <xf numFmtId="167" fontId="47" fillId="0" borderId="90" xfId="46" applyNumberFormat="1" applyFont="1" applyFill="1" applyBorder="1" applyAlignment="1" applyProtection="1">
      <alignment horizontal="center" vertical="center" wrapText="1"/>
    </xf>
    <xf numFmtId="167" fontId="46" fillId="0" borderId="96" xfId="46" applyNumberFormat="1" applyFont="1" applyFill="1" applyBorder="1" applyAlignment="1" applyProtection="1">
      <alignment vertical="center"/>
    </xf>
    <xf numFmtId="0" fontId="75" fillId="0" borderId="0" xfId="46" applyNumberFormat="1" applyFont="1" applyFill="1" applyBorder="1" applyAlignment="1" applyProtection="1">
      <alignment horizontal="center" vertical="center"/>
    </xf>
    <xf numFmtId="167" fontId="47" fillId="0" borderId="0" xfId="46" applyNumberFormat="1" applyFont="1" applyFill="1" applyBorder="1" applyAlignment="1" applyProtection="1">
      <alignment horizontal="center" vertical="center" wrapText="1"/>
    </xf>
    <xf numFmtId="0" fontId="58" fillId="0" borderId="0" xfId="46" applyNumberFormat="1" applyFont="1" applyFill="1" applyBorder="1" applyAlignment="1" applyProtection="1">
      <alignment horizontal="center" vertical="center"/>
    </xf>
    <xf numFmtId="0" fontId="59" fillId="0" borderId="0" xfId="46" applyNumberFormat="1" applyFont="1" applyFill="1" applyBorder="1" applyAlignment="1" applyProtection="1">
      <alignment horizontal="center" vertical="center"/>
    </xf>
    <xf numFmtId="167" fontId="46" fillId="0" borderId="0" xfId="46" applyNumberFormat="1" applyFont="1" applyFill="1" applyBorder="1" applyAlignment="1" applyProtection="1">
      <alignment vertical="center"/>
    </xf>
    <xf numFmtId="0" fontId="46" fillId="0" borderId="0" xfId="46" applyNumberFormat="1" applyFont="1" applyFill="1" applyBorder="1" applyAlignment="1" applyProtection="1">
      <alignment vertical="center"/>
    </xf>
    <xf numFmtId="167" fontId="58" fillId="0" borderId="0" xfId="46" applyNumberFormat="1" applyFont="1" applyFill="1" applyBorder="1" applyAlignment="1" applyProtection="1">
      <alignment vertical="center"/>
    </xf>
    <xf numFmtId="0" fontId="47" fillId="0" borderId="101" xfId="46" applyNumberFormat="1" applyFont="1" applyFill="1" applyBorder="1" applyAlignment="1" applyProtection="1">
      <alignment horizontal="center" vertical="center" wrapText="1"/>
    </xf>
    <xf numFmtId="167" fontId="55" fillId="0" borderId="69" xfId="46" applyNumberFormat="1" applyFont="1" applyBorder="1" applyAlignment="1" applyProtection="1">
      <alignment vertical="center"/>
    </xf>
    <xf numFmtId="0" fontId="72" fillId="0" borderId="68" xfId="46" applyNumberFormat="1" applyFont="1" applyBorder="1" applyAlignment="1" applyProtection="1">
      <alignment vertical="center" wrapText="1"/>
    </xf>
    <xf numFmtId="165" fontId="39" fillId="0" borderId="0" xfId="46" applyFont="1"/>
    <xf numFmtId="167" fontId="76" fillId="0" borderId="0" xfId="46" applyNumberFormat="1" applyFont="1" applyBorder="1" applyAlignment="1" applyProtection="1">
      <alignment vertical="center"/>
    </xf>
    <xf numFmtId="0" fontId="78" fillId="0" borderId="0" xfId="45" applyFont="1"/>
    <xf numFmtId="167" fontId="76" fillId="0" borderId="69" xfId="46" applyNumberFormat="1" applyFont="1" applyBorder="1" applyAlignment="1" applyProtection="1">
      <alignment vertical="center"/>
    </xf>
    <xf numFmtId="0" fontId="8" fillId="0" borderId="0" xfId="0" applyFont="1"/>
    <xf numFmtId="164" fontId="8" fillId="0" borderId="0" xfId="0" applyNumberFormat="1" applyFont="1"/>
    <xf numFmtId="0" fontId="40" fillId="0" borderId="16" xfId="30" applyNumberFormat="1" applyFont="1" applyFill="1" applyBorder="1" applyAlignment="1" applyProtection="1">
      <alignment horizontal="center" vertical="center" wrapText="1"/>
    </xf>
    <xf numFmtId="0" fontId="34" fillId="32" borderId="20" xfId="30" applyNumberFormat="1" applyFont="1" applyFill="1" applyBorder="1" applyAlignment="1" applyProtection="1">
      <alignment horizontal="center" vertical="center"/>
    </xf>
    <xf numFmtId="0" fontId="34" fillId="32" borderId="1" xfId="30" applyNumberFormat="1" applyFont="1" applyFill="1" applyBorder="1" applyAlignment="1" applyProtection="1">
      <alignment horizontal="center" vertical="center"/>
    </xf>
    <xf numFmtId="0" fontId="40" fillId="0" borderId="18" xfId="30" applyNumberFormat="1" applyFont="1" applyBorder="1" applyAlignment="1" applyProtection="1">
      <alignment horizontal="center" vertical="center" wrapText="1"/>
    </xf>
    <xf numFmtId="0" fontId="58" fillId="0" borderId="47" xfId="30" applyNumberFormat="1" applyFont="1" applyFill="1" applyBorder="1" applyAlignment="1" applyProtection="1">
      <alignment horizontal="center" vertical="center"/>
    </xf>
    <xf numFmtId="0" fontId="58" fillId="0" borderId="14" xfId="30" applyNumberFormat="1" applyFont="1" applyFill="1" applyBorder="1" applyAlignment="1" applyProtection="1">
      <alignment horizontal="center" vertical="center"/>
    </xf>
    <xf numFmtId="167" fontId="55" fillId="0" borderId="48" xfId="30" applyNumberFormat="1" applyFont="1" applyFill="1" applyBorder="1" applyAlignment="1" applyProtection="1">
      <alignment vertical="center"/>
    </xf>
    <xf numFmtId="167" fontId="46" fillId="0" borderId="48" xfId="30" applyNumberFormat="1" applyFont="1" applyFill="1" applyBorder="1" applyAlignment="1" applyProtection="1">
      <alignment vertical="center"/>
    </xf>
    <xf numFmtId="167" fontId="46" fillId="0" borderId="49" xfId="30" applyNumberFormat="1" applyFont="1" applyFill="1" applyBorder="1" applyAlignment="1" applyProtection="1">
      <alignment vertical="center"/>
    </xf>
    <xf numFmtId="167" fontId="39" fillId="0" borderId="48" xfId="30" applyNumberFormat="1" applyFont="1" applyFill="1" applyBorder="1" applyAlignment="1" applyProtection="1">
      <alignment vertical="center"/>
    </xf>
    <xf numFmtId="0" fontId="58" fillId="0" borderId="102" xfId="30" applyNumberFormat="1" applyFont="1" applyFill="1" applyBorder="1" applyAlignment="1" applyProtection="1">
      <alignment horizontal="center" vertical="center"/>
    </xf>
    <xf numFmtId="0" fontId="58" fillId="0" borderId="103" xfId="30" applyNumberFormat="1" applyFont="1" applyFill="1" applyBorder="1" applyAlignment="1" applyProtection="1">
      <alignment horizontal="center" vertical="center"/>
    </xf>
    <xf numFmtId="167" fontId="58" fillId="0" borderId="104" xfId="30" applyNumberFormat="1" applyFont="1" applyFill="1" applyBorder="1" applyAlignment="1" applyProtection="1">
      <alignment horizontal="center" vertical="center"/>
    </xf>
    <xf numFmtId="167" fontId="59" fillId="0" borderId="51" xfId="30" applyNumberFormat="1" applyFont="1" applyFill="1" applyBorder="1" applyAlignment="1" applyProtection="1">
      <alignment horizontal="center" vertical="center"/>
    </xf>
    <xf numFmtId="0" fontId="35" fillId="0" borderId="51" xfId="30" applyNumberFormat="1" applyFont="1" applyFill="1" applyBorder="1" applyAlignment="1" applyProtection="1">
      <alignment horizontal="center" vertical="center" wrapText="1"/>
    </xf>
    <xf numFmtId="167" fontId="55" fillId="0" borderId="51" xfId="30" applyNumberFormat="1" applyFont="1" applyFill="1" applyBorder="1" applyAlignment="1" applyProtection="1">
      <alignment vertical="center"/>
    </xf>
    <xf numFmtId="167" fontId="46" fillId="0" borderId="102" xfId="30" applyNumberFormat="1" applyFont="1" applyFill="1" applyBorder="1" applyAlignment="1" applyProtection="1">
      <alignment vertical="center"/>
    </xf>
    <xf numFmtId="167" fontId="46" fillId="0" borderId="103" xfId="30" applyNumberFormat="1" applyFont="1" applyFill="1" applyBorder="1" applyAlignment="1" applyProtection="1">
      <alignment vertical="center"/>
    </xf>
    <xf numFmtId="167" fontId="46" fillId="0" borderId="104" xfId="30" applyNumberFormat="1" applyFont="1" applyFill="1" applyBorder="1" applyAlignment="1" applyProtection="1">
      <alignment vertical="center"/>
    </xf>
    <xf numFmtId="167" fontId="46" fillId="0" borderId="105" xfId="30" applyNumberFormat="1" applyFont="1" applyFill="1" applyBorder="1" applyAlignment="1" applyProtection="1">
      <alignment vertical="center"/>
    </xf>
    <xf numFmtId="167" fontId="39" fillId="0" borderId="51" xfId="30" applyNumberFormat="1" applyFont="1" applyFill="1" applyBorder="1" applyAlignment="1" applyProtection="1">
      <alignment vertical="center"/>
    </xf>
    <xf numFmtId="167" fontId="58" fillId="0" borderId="0" xfId="30" applyNumberFormat="1" applyFont="1" applyFill="1" applyBorder="1" applyAlignment="1" applyProtection="1">
      <alignment vertical="center"/>
    </xf>
    <xf numFmtId="167" fontId="55" fillId="0" borderId="17" xfId="30" applyNumberFormat="1" applyFont="1" applyBorder="1" applyAlignment="1" applyProtection="1">
      <alignment vertical="center"/>
    </xf>
    <xf numFmtId="0" fontId="34" fillId="0" borderId="3" xfId="30" applyNumberFormat="1" applyFont="1" applyBorder="1" applyAlignment="1" applyProtection="1">
      <alignment vertical="center" wrapText="1"/>
    </xf>
    <xf numFmtId="0" fontId="51" fillId="52" borderId="0" xfId="30" applyNumberFormat="1" applyFont="1" applyFill="1" applyBorder="1" applyAlignment="1" applyProtection="1">
      <alignment horizontal="center" vertical="center"/>
    </xf>
    <xf numFmtId="0" fontId="33" fillId="52" borderId="0" xfId="30" applyNumberFormat="1" applyFont="1" applyFill="1" applyBorder="1" applyAlignment="1" applyProtection="1">
      <alignment horizontal="center" vertical="center"/>
    </xf>
    <xf numFmtId="0" fontId="57" fillId="52" borderId="0" xfId="30" applyNumberFormat="1" applyFont="1" applyFill="1" applyBorder="1" applyAlignment="1" applyProtection="1">
      <alignment horizontal="center" vertical="center" wrapText="1"/>
    </xf>
    <xf numFmtId="167" fontId="57" fillId="52" borderId="0" xfId="30" applyNumberFormat="1" applyFont="1" applyFill="1" applyBorder="1" applyAlignment="1" applyProtection="1">
      <alignment vertical="center"/>
    </xf>
    <xf numFmtId="167" fontId="52" fillId="52" borderId="0" xfId="30" applyNumberFormat="1" applyFont="1" applyFill="1" applyBorder="1" applyAlignment="1" applyProtection="1">
      <alignment vertical="center"/>
    </xf>
    <xf numFmtId="0" fontId="33" fillId="52" borderId="0" xfId="30" applyNumberFormat="1" applyFont="1" applyFill="1" applyBorder="1" applyAlignment="1" applyProtection="1">
      <alignment vertical="center"/>
    </xf>
    <xf numFmtId="167" fontId="34" fillId="53" borderId="0" xfId="30" applyNumberFormat="1" applyFont="1" applyFill="1" applyBorder="1" applyAlignment="1" applyProtection="1">
      <alignment vertical="center"/>
    </xf>
    <xf numFmtId="167" fontId="34" fillId="0" borderId="0" xfId="30" applyNumberFormat="1" applyFont="1" applyBorder="1" applyAlignment="1" applyProtection="1">
      <alignment vertical="center"/>
    </xf>
    <xf numFmtId="167" fontId="34" fillId="3" borderId="3" xfId="30" applyNumberFormat="1" applyFont="1" applyFill="1" applyBorder="1" applyAlignment="1" applyProtection="1">
      <alignment vertical="center"/>
    </xf>
    <xf numFmtId="0" fontId="33" fillId="3" borderId="15" xfId="30" applyNumberFormat="1" applyFont="1" applyFill="1" applyBorder="1" applyAlignment="1" applyProtection="1">
      <alignment vertical="center"/>
    </xf>
    <xf numFmtId="167" fontId="57" fillId="3" borderId="17" xfId="30" applyNumberFormat="1" applyFont="1" applyFill="1" applyBorder="1" applyAlignment="1" applyProtection="1">
      <alignment vertical="center"/>
    </xf>
    <xf numFmtId="167" fontId="34" fillId="52" borderId="3" xfId="30" applyNumberFormat="1" applyFont="1" applyFill="1" applyBorder="1" applyAlignment="1" applyProtection="1">
      <alignment vertical="center"/>
    </xf>
    <xf numFmtId="167" fontId="57" fillId="52" borderId="15" xfId="30" applyNumberFormat="1" applyFont="1" applyFill="1" applyBorder="1" applyAlignment="1" applyProtection="1">
      <alignment vertical="center"/>
    </xf>
    <xf numFmtId="167" fontId="57" fillId="52" borderId="17" xfId="30" applyNumberFormat="1" applyFont="1" applyFill="1" applyBorder="1" applyAlignment="1" applyProtection="1">
      <alignment vertical="center"/>
    </xf>
    <xf numFmtId="167" fontId="34" fillId="28" borderId="3" xfId="30" applyNumberFormat="1" applyFont="1" applyFill="1" applyBorder="1" applyAlignment="1" applyProtection="1">
      <alignment vertical="center"/>
    </xf>
    <xf numFmtId="167" fontId="57" fillId="28" borderId="17" xfId="30" applyNumberFormat="1" applyFont="1" applyFill="1" applyBorder="1" applyAlignment="1" applyProtection="1">
      <alignment vertical="center"/>
    </xf>
    <xf numFmtId="167" fontId="57" fillId="28" borderId="16" xfId="30" applyNumberFormat="1" applyFont="1" applyFill="1" applyBorder="1" applyAlignment="1" applyProtection="1">
      <alignment vertical="center"/>
    </xf>
    <xf numFmtId="167" fontId="34" fillId="27" borderId="3" xfId="30" applyNumberFormat="1" applyFont="1" applyFill="1" applyBorder="1" applyAlignment="1" applyProtection="1">
      <alignment vertical="center"/>
    </xf>
    <xf numFmtId="167" fontId="57" fillId="27" borderId="15" xfId="30" applyNumberFormat="1" applyFont="1" applyFill="1" applyBorder="1" applyAlignment="1" applyProtection="1">
      <alignment vertical="center"/>
    </xf>
    <xf numFmtId="167" fontId="57" fillId="27" borderId="17" xfId="30" applyNumberFormat="1" applyFont="1" applyFill="1" applyBorder="1" applyAlignment="1" applyProtection="1">
      <alignment vertical="center"/>
    </xf>
    <xf numFmtId="167" fontId="34" fillId="25" borderId="16" xfId="30" applyNumberFormat="1" applyFont="1" applyFill="1" applyBorder="1" applyAlignment="1" applyProtection="1">
      <alignment vertical="center"/>
    </xf>
    <xf numFmtId="0" fontId="33" fillId="54" borderId="3" xfId="30" applyNumberFormat="1" applyFont="1" applyFill="1" applyBorder="1" applyAlignment="1" applyProtection="1">
      <alignment vertical="center"/>
    </xf>
    <xf numFmtId="43" fontId="57" fillId="0" borderId="0" xfId="47" applyFont="1" applyBorder="1" applyAlignment="1" applyProtection="1">
      <alignment vertical="center"/>
    </xf>
    <xf numFmtId="0" fontId="34" fillId="0" borderId="16" xfId="30" applyNumberFormat="1" applyFont="1" applyBorder="1" applyAlignment="1" applyProtection="1">
      <alignment horizontal="center" vertical="center" wrapText="1"/>
    </xf>
    <xf numFmtId="0" fontId="34" fillId="0" borderId="1" xfId="30" applyNumberFormat="1" applyFont="1" applyBorder="1" applyAlignment="1" applyProtection="1">
      <alignment horizontal="center" vertical="center"/>
    </xf>
    <xf numFmtId="0" fontId="34" fillId="0" borderId="16" xfId="30" applyNumberFormat="1" applyFont="1" applyBorder="1" applyAlignment="1" applyProtection="1">
      <alignment vertical="center"/>
    </xf>
    <xf numFmtId="0" fontId="34" fillId="23" borderId="16" xfId="30" applyNumberFormat="1" applyFont="1" applyFill="1" applyBorder="1" applyAlignment="1" applyProtection="1">
      <alignment vertical="center"/>
    </xf>
    <xf numFmtId="0" fontId="34" fillId="21" borderId="16" xfId="30" applyNumberFormat="1" applyFont="1" applyFill="1" applyBorder="1" applyAlignment="1" applyProtection="1">
      <alignment vertical="center"/>
    </xf>
    <xf numFmtId="0" fontId="34" fillId="4" borderId="16" xfId="30" applyNumberFormat="1" applyFont="1" applyFill="1" applyBorder="1" applyAlignment="1" applyProtection="1">
      <alignment vertical="center"/>
    </xf>
    <xf numFmtId="0" fontId="34" fillId="25" borderId="16" xfId="30" applyNumberFormat="1" applyFont="1" applyFill="1" applyBorder="1" applyAlignment="1" applyProtection="1">
      <alignment vertical="center"/>
    </xf>
    <xf numFmtId="0" fontId="34" fillId="24" borderId="16" xfId="30" applyNumberFormat="1" applyFont="1" applyFill="1" applyBorder="1" applyAlignment="1" applyProtection="1">
      <alignment vertical="center"/>
    </xf>
    <xf numFmtId="0" fontId="34" fillId="28" borderId="16" xfId="30" applyNumberFormat="1" applyFont="1" applyFill="1" applyBorder="1" applyAlignment="1" applyProtection="1">
      <alignment vertical="center"/>
    </xf>
    <xf numFmtId="0" fontId="44" fillId="3" borderId="106" xfId="30" applyNumberFormat="1" applyFont="1" applyFill="1" applyBorder="1" applyAlignment="1" applyProtection="1">
      <alignment horizontal="center" vertical="center" wrapText="1"/>
    </xf>
    <xf numFmtId="0" fontId="34" fillId="53" borderId="16" xfId="30" applyNumberFormat="1" applyFont="1" applyFill="1" applyBorder="1" applyAlignment="1" applyProtection="1">
      <alignment horizontal="center" vertical="center" wrapText="1"/>
    </xf>
    <xf numFmtId="0" fontId="34" fillId="52" borderId="16" xfId="30" applyNumberFormat="1" applyFont="1" applyFill="1" applyBorder="1" applyAlignment="1" applyProtection="1">
      <alignment horizontal="center" vertical="center" wrapText="1"/>
    </xf>
    <xf numFmtId="0" fontId="79" fillId="0" borderId="3" xfId="30" applyNumberFormat="1" applyFont="1" applyFill="1" applyBorder="1" applyAlignment="1" applyProtection="1">
      <alignment horizontal="center" vertical="center" wrapText="1"/>
    </xf>
    <xf numFmtId="0" fontId="79" fillId="0" borderId="16" xfId="43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40" fillId="26" borderId="18" xfId="30" applyNumberFormat="1" applyFont="1" applyFill="1" applyBorder="1" applyAlignment="1" applyProtection="1">
      <alignment horizontal="center" vertical="center" wrapText="1"/>
    </xf>
    <xf numFmtId="0" fontId="44" fillId="27" borderId="16" xfId="30" applyNumberFormat="1" applyFont="1" applyFill="1" applyBorder="1" applyAlignment="1" applyProtection="1">
      <alignment horizontal="center" vertical="center" wrapText="1"/>
    </xf>
    <xf numFmtId="0" fontId="44" fillId="28" borderId="16" xfId="30" applyNumberFormat="1" applyFont="1" applyFill="1" applyBorder="1" applyAlignment="1" applyProtection="1">
      <alignment horizontal="center" vertical="center" wrapText="1"/>
    </xf>
    <xf numFmtId="0" fontId="34" fillId="0" borderId="17" xfId="30" applyNumberFormat="1" applyFont="1" applyBorder="1" applyAlignment="1" applyProtection="1">
      <alignment horizontal="center" vertical="center" wrapText="1"/>
    </xf>
    <xf numFmtId="0" fontId="40" fillId="0" borderId="16" xfId="30" applyNumberFormat="1" applyFont="1" applyFill="1" applyBorder="1" applyAlignment="1" applyProtection="1">
      <alignment horizontal="center" vertical="center" wrapText="1"/>
    </xf>
    <xf numFmtId="0" fontId="34" fillId="0" borderId="16" xfId="30" applyNumberFormat="1" applyFont="1" applyBorder="1" applyAlignment="1" applyProtection="1">
      <alignment horizontal="center" vertical="center"/>
    </xf>
    <xf numFmtId="0" fontId="34" fillId="3" borderId="16" xfId="30" applyNumberFormat="1" applyFont="1" applyFill="1" applyBorder="1" applyAlignment="1" applyProtection="1">
      <alignment horizontal="center" vertical="center"/>
    </xf>
    <xf numFmtId="0" fontId="34" fillId="21" borderId="16" xfId="30" applyNumberFormat="1" applyFont="1" applyFill="1" applyBorder="1" applyAlignment="1" applyProtection="1">
      <alignment horizontal="center" vertical="center"/>
    </xf>
    <xf numFmtId="0" fontId="34" fillId="25" borderId="16" xfId="30" applyNumberFormat="1" applyFont="1" applyFill="1" applyBorder="1" applyAlignment="1" applyProtection="1">
      <alignment horizontal="center" vertical="center"/>
    </xf>
    <xf numFmtId="0" fontId="34" fillId="0" borderId="16" xfId="30" applyNumberFormat="1" applyFont="1" applyBorder="1" applyAlignment="1" applyProtection="1">
      <alignment horizontal="center" vertical="center" wrapText="1"/>
    </xf>
    <xf numFmtId="0" fontId="34" fillId="0" borderId="3" xfId="30" applyNumberFormat="1" applyFont="1" applyBorder="1" applyAlignment="1" applyProtection="1">
      <alignment horizontal="center" vertical="center" wrapText="1"/>
    </xf>
    <xf numFmtId="0" fontId="40" fillId="0" borderId="16" xfId="30" applyNumberFormat="1" applyFont="1" applyBorder="1" applyAlignment="1" applyProtection="1">
      <alignment horizontal="center" vertical="center" wrapText="1"/>
    </xf>
    <xf numFmtId="0" fontId="40" fillId="34" borderId="18" xfId="30" applyNumberFormat="1" applyFont="1" applyFill="1" applyBorder="1" applyAlignment="1" applyProtection="1">
      <alignment horizontal="center" vertical="center" wrapText="1"/>
    </xf>
    <xf numFmtId="0" fontId="40" fillId="0" borderId="18" xfId="30" applyNumberFormat="1" applyFont="1" applyBorder="1" applyAlignment="1" applyProtection="1">
      <alignment horizontal="center" vertical="center" wrapText="1"/>
    </xf>
    <xf numFmtId="0" fontId="40" fillId="14" borderId="18" xfId="30" applyNumberFormat="1" applyFont="1" applyFill="1" applyBorder="1" applyAlignment="1" applyProtection="1">
      <alignment horizontal="center" vertical="center" wrapText="1"/>
    </xf>
    <xf numFmtId="0" fontId="34" fillId="0" borderId="29" xfId="30" applyNumberFormat="1" applyFont="1" applyBorder="1" applyAlignment="1" applyProtection="1">
      <alignment horizontal="center" vertical="center"/>
    </xf>
    <xf numFmtId="0" fontId="34" fillId="0" borderId="20" xfId="30" applyNumberFormat="1" applyFont="1" applyBorder="1" applyAlignment="1" applyProtection="1">
      <alignment horizontal="center" vertical="center"/>
    </xf>
    <xf numFmtId="0" fontId="34" fillId="0" borderId="30" xfId="30" applyNumberFormat="1" applyFont="1" applyBorder="1" applyAlignment="1" applyProtection="1">
      <alignment horizontal="center" vertical="center"/>
    </xf>
    <xf numFmtId="0" fontId="34" fillId="0" borderId="31" xfId="30" applyNumberFormat="1" applyFont="1" applyBorder="1" applyAlignment="1" applyProtection="1">
      <alignment horizontal="center" vertical="center"/>
    </xf>
    <xf numFmtId="0" fontId="34" fillId="0" borderId="1" xfId="30" applyNumberFormat="1" applyFont="1" applyBorder="1" applyAlignment="1" applyProtection="1">
      <alignment horizontal="center" vertical="center"/>
    </xf>
    <xf numFmtId="0" fontId="34" fillId="0" borderId="32" xfId="30" applyNumberFormat="1" applyFont="1" applyBorder="1" applyAlignment="1" applyProtection="1">
      <alignment horizontal="center" vertical="center"/>
    </xf>
    <xf numFmtId="0" fontId="34" fillId="31" borderId="29" xfId="30" applyNumberFormat="1" applyFont="1" applyFill="1" applyBorder="1" applyAlignment="1" applyProtection="1">
      <alignment horizontal="center" vertical="center"/>
    </xf>
    <xf numFmtId="0" fontId="34" fillId="31" borderId="20" xfId="30" applyNumberFormat="1" applyFont="1" applyFill="1" applyBorder="1" applyAlignment="1" applyProtection="1">
      <alignment horizontal="center" vertical="center"/>
    </xf>
    <xf numFmtId="0" fontId="34" fillId="31" borderId="31" xfId="30" applyNumberFormat="1" applyFont="1" applyFill="1" applyBorder="1" applyAlignment="1" applyProtection="1">
      <alignment horizontal="center" vertical="center"/>
    </xf>
    <xf numFmtId="0" fontId="34" fillId="31" borderId="1" xfId="30" applyNumberFormat="1" applyFont="1" applyFill="1" applyBorder="1" applyAlignment="1" applyProtection="1">
      <alignment horizontal="center" vertical="center"/>
    </xf>
    <xf numFmtId="0" fontId="34" fillId="32" borderId="29" xfId="30" applyNumberFormat="1" applyFont="1" applyFill="1" applyBorder="1" applyAlignment="1" applyProtection="1">
      <alignment horizontal="center" vertical="center"/>
    </xf>
    <xf numFmtId="0" fontId="34" fillId="32" borderId="20" xfId="30" applyNumberFormat="1" applyFont="1" applyFill="1" applyBorder="1" applyAlignment="1" applyProtection="1">
      <alignment horizontal="center" vertical="center"/>
    </xf>
    <xf numFmtId="0" fontId="34" fillId="32" borderId="31" xfId="30" applyNumberFormat="1" applyFont="1" applyFill="1" applyBorder="1" applyAlignment="1" applyProtection="1">
      <alignment horizontal="center" vertical="center"/>
    </xf>
    <xf numFmtId="0" fontId="34" fillId="32" borderId="1" xfId="30" applyNumberFormat="1" applyFont="1" applyFill="1" applyBorder="1" applyAlignment="1" applyProtection="1">
      <alignment horizontal="center" vertical="center"/>
    </xf>
    <xf numFmtId="0" fontId="34" fillId="33" borderId="29" xfId="30" applyNumberFormat="1" applyFont="1" applyFill="1" applyBorder="1" applyAlignment="1" applyProtection="1">
      <alignment horizontal="center" vertical="center"/>
    </xf>
    <xf numFmtId="0" fontId="34" fillId="33" borderId="20" xfId="30" applyNumberFormat="1" applyFont="1" applyFill="1" applyBorder="1" applyAlignment="1" applyProtection="1">
      <alignment horizontal="center" vertical="center"/>
    </xf>
    <xf numFmtId="0" fontId="34" fillId="33" borderId="33" xfId="30" applyNumberFormat="1" applyFont="1" applyFill="1" applyBorder="1" applyAlignment="1" applyProtection="1">
      <alignment horizontal="center" vertical="center"/>
    </xf>
    <xf numFmtId="0" fontId="34" fillId="33" borderId="0" xfId="30" applyNumberFormat="1" applyFont="1" applyFill="1" applyBorder="1" applyAlignment="1" applyProtection="1">
      <alignment horizontal="center" vertical="center"/>
    </xf>
    <xf numFmtId="0" fontId="59" fillId="0" borderId="55" xfId="30" applyNumberFormat="1" applyFont="1" applyFill="1" applyBorder="1" applyAlignment="1" applyProtection="1">
      <alignment horizontal="center" vertical="center"/>
    </xf>
    <xf numFmtId="0" fontId="59" fillId="0" borderId="14" xfId="30" applyNumberFormat="1" applyFont="1" applyFill="1" applyBorder="1" applyAlignment="1" applyProtection="1">
      <alignment horizontal="center" vertical="center"/>
    </xf>
    <xf numFmtId="0" fontId="40" fillId="6" borderId="18" xfId="30" applyNumberFormat="1" applyFont="1" applyFill="1" applyBorder="1" applyAlignment="1" applyProtection="1">
      <alignment horizontal="center" vertical="center" wrapText="1"/>
    </xf>
    <xf numFmtId="0" fontId="40" fillId="38" borderId="16" xfId="30" applyNumberFormat="1" applyFont="1" applyFill="1" applyBorder="1" applyAlignment="1" applyProtection="1">
      <alignment horizontal="center" vertical="center" wrapText="1"/>
    </xf>
    <xf numFmtId="0" fontId="40" fillId="39" borderId="20" xfId="30" applyNumberFormat="1" applyFont="1" applyFill="1" applyBorder="1" applyAlignment="1" applyProtection="1">
      <alignment horizontal="center" vertical="center"/>
    </xf>
    <xf numFmtId="0" fontId="44" fillId="28" borderId="17" xfId="30" applyNumberFormat="1" applyFont="1" applyFill="1" applyBorder="1" applyAlignment="1" applyProtection="1">
      <alignment horizontal="center" vertical="center" wrapText="1"/>
    </xf>
    <xf numFmtId="0" fontId="34" fillId="0" borderId="18" xfId="30" applyNumberFormat="1" applyFont="1" applyBorder="1" applyAlignment="1" applyProtection="1">
      <alignment horizontal="center" vertical="center"/>
    </xf>
    <xf numFmtId="0" fontId="40" fillId="23" borderId="16" xfId="30" applyNumberFormat="1" applyFont="1" applyFill="1" applyBorder="1" applyAlignment="1" applyProtection="1">
      <alignment horizontal="center" vertical="center"/>
    </xf>
    <xf numFmtId="0" fontId="33" fillId="0" borderId="2" xfId="30" applyNumberFormat="1" applyFont="1" applyBorder="1" applyAlignment="1" applyProtection="1">
      <alignment horizontal="center" vertical="center"/>
    </xf>
    <xf numFmtId="0" fontId="36" fillId="0" borderId="16" xfId="30" applyNumberFormat="1" applyFont="1" applyBorder="1" applyAlignment="1" applyProtection="1">
      <alignment horizontal="center" vertical="center"/>
    </xf>
    <xf numFmtId="0" fontId="40" fillId="0" borderId="17" xfId="30" applyNumberFormat="1" applyFont="1" applyBorder="1" applyAlignment="1" applyProtection="1">
      <alignment horizontal="center" vertical="center" wrapText="1"/>
    </xf>
    <xf numFmtId="0" fontId="74" fillId="46" borderId="72" xfId="46" applyNumberFormat="1" applyFont="1" applyFill="1" applyBorder="1" applyAlignment="1" applyProtection="1">
      <alignment horizontal="center" vertical="center" wrapText="1"/>
    </xf>
    <xf numFmtId="0" fontId="74" fillId="47" borderId="72" xfId="46" applyNumberFormat="1" applyFont="1" applyFill="1" applyBorder="1" applyAlignment="1" applyProtection="1">
      <alignment horizontal="center" vertical="center" wrapText="1"/>
    </xf>
    <xf numFmtId="0" fontId="74" fillId="0" borderId="70" xfId="46" applyNumberFormat="1" applyFont="1" applyBorder="1" applyAlignment="1" applyProtection="1">
      <alignment horizontal="center" vertical="center" wrapText="1"/>
    </xf>
    <xf numFmtId="0" fontId="74" fillId="42" borderId="70" xfId="46" applyNumberFormat="1" applyFont="1" applyFill="1" applyBorder="1" applyAlignment="1" applyProtection="1">
      <alignment horizontal="center" vertical="center" wrapText="1"/>
    </xf>
    <xf numFmtId="0" fontId="72" fillId="0" borderId="71" xfId="46" applyNumberFormat="1" applyFont="1" applyBorder="1" applyAlignment="1" applyProtection="1">
      <alignment horizontal="center" vertical="center"/>
    </xf>
    <xf numFmtId="0" fontId="74" fillId="43" borderId="70" xfId="46" applyNumberFormat="1" applyFont="1" applyFill="1" applyBorder="1" applyAlignment="1" applyProtection="1">
      <alignment horizontal="center" vertical="center" wrapText="1"/>
    </xf>
    <xf numFmtId="0" fontId="74" fillId="30" borderId="70" xfId="46" applyNumberFormat="1" applyFont="1" applyFill="1" applyBorder="1" applyAlignment="1" applyProtection="1">
      <alignment horizontal="center" vertical="center" wrapText="1"/>
    </xf>
    <xf numFmtId="0" fontId="74" fillId="45" borderId="68" xfId="46" applyNumberFormat="1" applyFont="1" applyFill="1" applyBorder="1" applyAlignment="1" applyProtection="1">
      <alignment horizontal="center" vertical="center" wrapText="1"/>
    </xf>
    <xf numFmtId="0" fontId="74" fillId="45" borderId="67" xfId="46" applyNumberFormat="1" applyFont="1" applyFill="1" applyBorder="1" applyAlignment="1" applyProtection="1">
      <alignment horizontal="center" vertical="center" wrapText="1"/>
    </xf>
    <xf numFmtId="0" fontId="74" fillId="45" borderId="69" xfId="46" applyNumberFormat="1" applyFont="1" applyFill="1" applyBorder="1" applyAlignment="1" applyProtection="1">
      <alignment horizontal="center" vertical="center" wrapText="1"/>
    </xf>
    <xf numFmtId="0" fontId="72" fillId="0" borderId="70" xfId="46" applyNumberFormat="1" applyFont="1" applyBorder="1" applyAlignment="1" applyProtection="1">
      <alignment horizontal="center" vertical="center" wrapText="1"/>
    </xf>
  </cellXfs>
  <cellStyles count="4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uro" xfId="29"/>
    <cellStyle name="Excel Built-in Explanatory Text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Linked Cell" xfId="37"/>
    <cellStyle name="Migliaia" xfId="1" builtinId="3"/>
    <cellStyle name="Migliaia 2" xfId="44"/>
    <cellStyle name="Migliaia 3" xfId="47"/>
    <cellStyle name="Neutral" xfId="38"/>
    <cellStyle name="Normale" xfId="0" builtinId="0"/>
    <cellStyle name="Normale 2" xfId="43"/>
    <cellStyle name="Normale 3" xfId="45"/>
    <cellStyle name="Note" xfId="39"/>
    <cellStyle name="Testo descrittivo 2" xfId="46"/>
    <cellStyle name="Title" xfId="40"/>
    <cellStyle name="Total" xfId="41"/>
    <cellStyle name="Warning Text" xfId="42"/>
  </cellStyles>
  <dxfs count="0"/>
  <tableStyles count="0" defaultTableStyle="TableStyleMedium2" defaultPivotStyle="PivotStyleLight16"/>
  <colors>
    <mruColors>
      <color rgb="FF00990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11</xdr:col>
      <xdr:colOff>476250</xdr:colOff>
      <xdr:row>9</xdr:row>
      <xdr:rowOff>3381375</xdr:rowOff>
    </xdr:to>
    <xdr:sp macro="" textlink="">
      <xdr:nvSpPr>
        <xdr:cNvPr id="2" name="CustomShape 1" hidden="1"/>
        <xdr:cNvSpPr>
          <a:spLocks noChangeArrowheads="1"/>
        </xdr:cNvSpPr>
      </xdr:nvSpPr>
      <xdr:spPr bwMode="auto">
        <a:xfrm>
          <a:off x="0" y="0"/>
          <a:ext cx="8867775" cy="9439275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11</xdr:col>
      <xdr:colOff>476250</xdr:colOff>
      <xdr:row>9</xdr:row>
      <xdr:rowOff>3381375</xdr:rowOff>
    </xdr:to>
    <xdr:sp macro="" textlink="">
      <xdr:nvSpPr>
        <xdr:cNvPr id="3" name="CustomShape 1" hidden="1"/>
        <xdr:cNvSpPr>
          <a:spLocks noChangeArrowheads="1"/>
        </xdr:cNvSpPr>
      </xdr:nvSpPr>
      <xdr:spPr bwMode="auto">
        <a:xfrm>
          <a:off x="0" y="0"/>
          <a:ext cx="8867775" cy="9439275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11</xdr:col>
      <xdr:colOff>476250</xdr:colOff>
      <xdr:row>9</xdr:row>
      <xdr:rowOff>3381375</xdr:rowOff>
    </xdr:to>
    <xdr:sp macro="" textlink="">
      <xdr:nvSpPr>
        <xdr:cNvPr id="4" name="CustomShape 1" hidden="1"/>
        <xdr:cNvSpPr>
          <a:spLocks noChangeArrowheads="1"/>
        </xdr:cNvSpPr>
      </xdr:nvSpPr>
      <xdr:spPr bwMode="auto">
        <a:xfrm>
          <a:off x="0" y="0"/>
          <a:ext cx="8867775" cy="9439275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C30"/>
  <sheetViews>
    <sheetView tabSelected="1" zoomScale="85" zoomScaleNormal="85" workbookViewId="0">
      <pane xSplit="2" ySplit="3" topLeftCell="C4" activePane="bottomRight" state="frozen"/>
      <selection activeCell="BD1" sqref="BD1:BH1048576"/>
      <selection pane="topRight" activeCell="BD1" sqref="BD1:BH1048576"/>
      <selection pane="bottomLeft" activeCell="BD1" sqref="BD1:BH1048576"/>
      <selection pane="bottomRight" activeCell="V5" sqref="V5"/>
    </sheetView>
  </sheetViews>
  <sheetFormatPr defaultRowHeight="12.75" x14ac:dyDescent="0.2"/>
  <cols>
    <col min="1" max="1" width="3.28515625" customWidth="1"/>
    <col min="2" max="2" width="44.85546875" customWidth="1"/>
    <col min="3" max="3" width="22.140625" customWidth="1"/>
    <col min="4" max="4" width="20.42578125" style="2" customWidth="1"/>
    <col min="5" max="5" width="18.5703125" customWidth="1"/>
    <col min="6" max="6" width="20" customWidth="1"/>
    <col min="7" max="7" width="18.5703125" customWidth="1"/>
    <col min="8" max="8" width="20" customWidth="1"/>
    <col min="9" max="9" width="19" customWidth="1"/>
    <col min="10" max="10" width="18.5703125" customWidth="1"/>
    <col min="11" max="11" width="20.85546875" customWidth="1"/>
    <col min="12" max="12" width="19.42578125" customWidth="1"/>
    <col min="13" max="13" width="18.7109375" customWidth="1"/>
    <col min="14" max="14" width="21" customWidth="1"/>
    <col min="15" max="15" width="20.140625" customWidth="1"/>
    <col min="16" max="16" width="20.42578125" customWidth="1"/>
    <col min="17" max="17" width="18.28515625" customWidth="1"/>
    <col min="18" max="18" width="19.140625" customWidth="1"/>
    <col min="19" max="20" width="18.5703125" customWidth="1"/>
    <col min="21" max="21" width="18.140625" customWidth="1"/>
    <col min="22" max="22" width="20" bestFit="1" customWidth="1"/>
    <col min="23" max="23" width="24.42578125" customWidth="1"/>
    <col min="24" max="24" width="17.7109375" customWidth="1"/>
    <col min="25" max="25" width="20" customWidth="1"/>
    <col min="26" max="26" width="20.42578125" customWidth="1"/>
    <col min="27" max="27" width="21.140625" customWidth="1"/>
    <col min="28" max="28" width="20.42578125" hidden="1" customWidth="1"/>
    <col min="29" max="29" width="15.28515625" customWidth="1"/>
    <col min="30" max="30" width="13.85546875" customWidth="1"/>
  </cols>
  <sheetData>
    <row r="1" spans="1:29" ht="15.75" x14ac:dyDescent="0.25">
      <c r="B1" s="1" t="s">
        <v>0</v>
      </c>
      <c r="S1" s="3"/>
      <c r="T1" s="3"/>
      <c r="U1" s="4"/>
    </row>
    <row r="2" spans="1:29" s="10" customFormat="1" ht="48.75" customHeight="1" thickBot="1" x14ac:dyDescent="0.25">
      <c r="A2" s="5"/>
      <c r="B2" s="6"/>
      <c r="C2" s="7"/>
      <c r="D2" s="7"/>
      <c r="E2" s="496" t="s">
        <v>1</v>
      </c>
      <c r="F2" s="496"/>
      <c r="G2" s="496"/>
      <c r="H2" s="496"/>
      <c r="I2" s="497" t="s">
        <v>2</v>
      </c>
      <c r="J2" s="497"/>
      <c r="K2" s="497"/>
      <c r="L2" s="498" t="s">
        <v>3</v>
      </c>
      <c r="M2" s="498"/>
      <c r="N2" s="498"/>
      <c r="O2" s="498"/>
      <c r="P2" s="498"/>
      <c r="Q2" s="499" t="s">
        <v>4</v>
      </c>
      <c r="R2" s="499"/>
      <c r="S2" s="499"/>
      <c r="T2" s="499"/>
      <c r="U2" s="499"/>
      <c r="V2" s="499"/>
      <c r="W2" s="499"/>
      <c r="X2" s="499"/>
      <c r="Y2" s="8"/>
      <c r="Z2" s="9"/>
      <c r="AA2" s="9"/>
      <c r="AB2" s="9"/>
    </row>
    <row r="3" spans="1:29" s="17" customFormat="1" ht="84" customHeight="1" thickBot="1" x14ac:dyDescent="0.25">
      <c r="A3" s="11"/>
      <c r="B3" s="12" t="s">
        <v>5</v>
      </c>
      <c r="C3" s="13" t="s">
        <v>6</v>
      </c>
      <c r="D3" s="13" t="s">
        <v>7</v>
      </c>
      <c r="E3" s="13" t="s">
        <v>8</v>
      </c>
      <c r="F3" s="13" t="s">
        <v>9</v>
      </c>
      <c r="G3" s="13" t="s">
        <v>10</v>
      </c>
      <c r="H3" s="13" t="s">
        <v>11</v>
      </c>
      <c r="I3" s="14" t="s">
        <v>12</v>
      </c>
      <c r="J3" s="14" t="s">
        <v>13</v>
      </c>
      <c r="K3" s="14" t="s">
        <v>14</v>
      </c>
      <c r="L3" s="15" t="s">
        <v>15</v>
      </c>
      <c r="M3" s="15" t="s">
        <v>16</v>
      </c>
      <c r="N3" s="15" t="s">
        <v>17</v>
      </c>
      <c r="O3" s="15" t="s">
        <v>18</v>
      </c>
      <c r="P3" s="15" t="s">
        <v>19</v>
      </c>
      <c r="Q3" s="16" t="s">
        <v>20</v>
      </c>
      <c r="R3" s="16" t="s">
        <v>21</v>
      </c>
      <c r="S3" s="16" t="s">
        <v>523</v>
      </c>
      <c r="T3" s="16" t="s">
        <v>423</v>
      </c>
      <c r="U3" s="16" t="s">
        <v>22</v>
      </c>
      <c r="V3" s="16" t="s">
        <v>23</v>
      </c>
      <c r="W3" s="16" t="s">
        <v>24</v>
      </c>
      <c r="X3" s="16" t="s">
        <v>25</v>
      </c>
      <c r="Y3" s="13" t="s">
        <v>26</v>
      </c>
      <c r="Z3" s="13" t="s">
        <v>27</v>
      </c>
      <c r="AA3" s="13" t="s">
        <v>28</v>
      </c>
      <c r="AB3" s="13"/>
    </row>
    <row r="4" spans="1:29" ht="45" customHeight="1" x14ac:dyDescent="0.2">
      <c r="B4" s="18" t="s">
        <v>524</v>
      </c>
      <c r="C4" s="19">
        <v>125181636.85000001</v>
      </c>
      <c r="D4" s="19">
        <v>45297656.389999993</v>
      </c>
      <c r="E4" s="19">
        <v>6239221.5099999998</v>
      </c>
      <c r="F4" s="19">
        <v>16414969.569999998</v>
      </c>
      <c r="G4" s="19">
        <v>24777677.77</v>
      </c>
      <c r="H4" s="19">
        <v>32452111.609999999</v>
      </c>
      <c r="I4" s="19">
        <v>3211000</v>
      </c>
      <c r="J4" s="19">
        <v>0</v>
      </c>
      <c r="K4" s="19">
        <v>3307968</v>
      </c>
      <c r="L4" s="19">
        <v>0</v>
      </c>
      <c r="M4" s="19">
        <v>618476.43999999994</v>
      </c>
      <c r="N4" s="19">
        <v>16018128.949999999</v>
      </c>
      <c r="O4" s="19">
        <v>461052.19</v>
      </c>
      <c r="P4" s="19">
        <v>2147964</v>
      </c>
      <c r="Q4" s="19">
        <v>0</v>
      </c>
      <c r="R4" s="19">
        <v>0</v>
      </c>
      <c r="S4" s="19">
        <v>0</v>
      </c>
      <c r="T4" s="19">
        <v>195289.41</v>
      </c>
      <c r="U4" s="19">
        <v>3946216.78</v>
      </c>
      <c r="V4" s="19">
        <v>33370602.329999998</v>
      </c>
      <c r="W4" s="19">
        <v>24379427.329999998</v>
      </c>
      <c r="X4" s="19">
        <v>1681103.2300000063</v>
      </c>
      <c r="Y4" s="19">
        <v>25029133.5</v>
      </c>
      <c r="Z4" s="19">
        <v>10815274.689999999</v>
      </c>
      <c r="AA4" s="20"/>
      <c r="AB4" s="19">
        <f>C4-I4-J4-K4-L4-M4-N4-O4-P4-Q4-R4-S4-T4-U4-V4-W4-X4-Y4-Z4</f>
        <v>0</v>
      </c>
      <c r="AC4" s="4"/>
    </row>
    <row r="5" spans="1:29" ht="45" customHeight="1" x14ac:dyDescent="0.2">
      <c r="B5" s="18" t="s">
        <v>525</v>
      </c>
      <c r="C5" s="19">
        <v>393820984.55000001</v>
      </c>
      <c r="D5" s="19">
        <v>152791585.94</v>
      </c>
      <c r="E5" s="19">
        <v>35997761.380000003</v>
      </c>
      <c r="F5" s="19">
        <v>71291078.210000008</v>
      </c>
      <c r="G5" s="19">
        <v>46131543.980000004</v>
      </c>
      <c r="H5" s="19">
        <v>87609015.040000007</v>
      </c>
      <c r="I5" s="19">
        <v>18077357.5</v>
      </c>
      <c r="J5" s="19">
        <v>0</v>
      </c>
      <c r="K5" s="19">
        <v>61424026.719999999</v>
      </c>
      <c r="L5" s="19">
        <v>0</v>
      </c>
      <c r="M5" s="19">
        <v>368953.17000000004</v>
      </c>
      <c r="N5" s="19">
        <v>10610736.369999999</v>
      </c>
      <c r="O5" s="19">
        <v>10734147.76</v>
      </c>
      <c r="P5" s="19">
        <v>14066644.35</v>
      </c>
      <c r="Q5" s="19">
        <v>1384800.5299999998</v>
      </c>
      <c r="R5" s="19">
        <v>0</v>
      </c>
      <c r="S5" s="19">
        <v>45510463.619999997</v>
      </c>
      <c r="T5" s="19">
        <v>10510538.199999999</v>
      </c>
      <c r="U5" s="19">
        <v>22195666.23</v>
      </c>
      <c r="V5" s="19">
        <v>59564138.389999993</v>
      </c>
      <c r="W5" s="19">
        <v>63012024.760000005</v>
      </c>
      <c r="X5" s="19"/>
      <c r="Y5" s="19">
        <v>9524206.2699999996</v>
      </c>
      <c r="Z5" s="19">
        <v>66837280.68</v>
      </c>
      <c r="AA5" s="21"/>
      <c r="AB5" s="19">
        <f t="shared" ref="AB5:AB7" si="0">C5-I5-J5-K5-L5-M5-N5-O5-P5-Q5-R5-S5-T5-U5-V5-W5-X5-Y5-Z5</f>
        <v>6.7055225372314453E-8</v>
      </c>
      <c r="AC5" s="4"/>
    </row>
    <row r="6" spans="1:29" ht="45" customHeight="1" x14ac:dyDescent="0.2">
      <c r="B6" s="18" t="s">
        <v>526</v>
      </c>
      <c r="C6" s="19">
        <v>184647281.64000002</v>
      </c>
      <c r="D6" s="19">
        <v>155392629.09000003</v>
      </c>
      <c r="E6" s="19">
        <v>10723998.550000001</v>
      </c>
      <c r="F6" s="19">
        <v>6190000</v>
      </c>
      <c r="G6" s="19">
        <v>1162554</v>
      </c>
      <c r="H6" s="19">
        <v>11178100</v>
      </c>
      <c r="I6" s="19">
        <v>0</v>
      </c>
      <c r="J6" s="19">
        <v>0</v>
      </c>
      <c r="K6" s="19">
        <v>44663300</v>
      </c>
      <c r="L6" s="19">
        <v>0</v>
      </c>
      <c r="M6" s="19">
        <v>0</v>
      </c>
      <c r="N6" s="19">
        <v>7150000</v>
      </c>
      <c r="O6" s="19">
        <v>0</v>
      </c>
      <c r="P6" s="19">
        <v>49065226.439999998</v>
      </c>
      <c r="Q6" s="19">
        <v>1937728.59</v>
      </c>
      <c r="R6" s="19">
        <v>0</v>
      </c>
      <c r="S6" s="19"/>
      <c r="T6" s="19">
        <v>6192085.5099999998</v>
      </c>
      <c r="U6" s="19">
        <v>5949445.4299999997</v>
      </c>
      <c r="V6" s="19">
        <v>6792132.79</v>
      </c>
      <c r="W6" s="19">
        <v>12608212.879999999</v>
      </c>
      <c r="X6" s="19"/>
      <c r="Y6" s="19">
        <v>47721050</v>
      </c>
      <c r="Z6" s="19">
        <v>2568100</v>
      </c>
      <c r="AA6" s="20"/>
      <c r="AB6" s="19">
        <f t="shared" si="0"/>
        <v>1.4901161193847656E-8</v>
      </c>
      <c r="AC6" s="4"/>
    </row>
    <row r="7" spans="1:29" ht="45" customHeight="1" x14ac:dyDescent="0.2">
      <c r="B7" s="18" t="s">
        <v>527</v>
      </c>
      <c r="C7" s="19">
        <v>208521975.40000001</v>
      </c>
      <c r="D7" s="19">
        <v>156660074.44999999</v>
      </c>
      <c r="E7" s="19">
        <v>10554885.460000001</v>
      </c>
      <c r="F7" s="19">
        <v>12871359.35</v>
      </c>
      <c r="G7" s="19">
        <v>7473458.2300000004</v>
      </c>
      <c r="H7" s="19">
        <v>20962197.91</v>
      </c>
      <c r="I7" s="19">
        <v>478800</v>
      </c>
      <c r="J7" s="19">
        <v>1363800</v>
      </c>
      <c r="K7" s="19">
        <v>42406636.420000002</v>
      </c>
      <c r="L7" s="19"/>
      <c r="M7" s="19"/>
      <c r="N7" s="19">
        <v>13979667.33</v>
      </c>
      <c r="O7" s="19"/>
      <c r="P7" s="19">
        <f>24259000+2000000</f>
        <v>26259000</v>
      </c>
      <c r="Q7" s="19"/>
      <c r="R7" s="19"/>
      <c r="S7" s="19"/>
      <c r="T7" s="19">
        <v>1734476.88</v>
      </c>
      <c r="U7" s="19">
        <v>7680373.5399999991</v>
      </c>
      <c r="V7" s="19">
        <f>13559017.58-2000000</f>
        <v>11559017.58</v>
      </c>
      <c r="W7" s="19">
        <v>13458193.23</v>
      </c>
      <c r="X7" s="19"/>
      <c r="Y7" s="19">
        <v>68639812.50999999</v>
      </c>
      <c r="Z7" s="19">
        <v>20962197.91</v>
      </c>
      <c r="AA7" s="20"/>
      <c r="AB7" s="19">
        <f t="shared" si="0"/>
        <v>0</v>
      </c>
      <c r="AC7" s="4"/>
    </row>
    <row r="8" spans="1:29" s="433" customFormat="1" ht="45" customHeight="1" x14ac:dyDescent="0.25">
      <c r="B8" s="18"/>
      <c r="C8" s="22">
        <f t="shared" ref="C8:AB8" si="1">SUM(C4:C7)</f>
        <v>912171878.44000006</v>
      </c>
      <c r="D8" s="22">
        <f t="shared" si="1"/>
        <v>510141945.87</v>
      </c>
      <c r="E8" s="22">
        <f t="shared" si="1"/>
        <v>63515866.899999999</v>
      </c>
      <c r="F8" s="22">
        <f t="shared" si="1"/>
        <v>106767407.13</v>
      </c>
      <c r="G8" s="22">
        <f t="shared" si="1"/>
        <v>79545233.980000004</v>
      </c>
      <c r="H8" s="22">
        <f t="shared" si="1"/>
        <v>152201424.56</v>
      </c>
      <c r="I8" s="22">
        <f t="shared" si="1"/>
        <v>21767157.5</v>
      </c>
      <c r="J8" s="22">
        <f t="shared" si="1"/>
        <v>1363800</v>
      </c>
      <c r="K8" s="22">
        <f t="shared" si="1"/>
        <v>151801931.13999999</v>
      </c>
      <c r="L8" s="22">
        <f t="shared" si="1"/>
        <v>0</v>
      </c>
      <c r="M8" s="22">
        <f t="shared" si="1"/>
        <v>987429.61</v>
      </c>
      <c r="N8" s="22">
        <f t="shared" si="1"/>
        <v>47758532.649999999</v>
      </c>
      <c r="O8" s="22">
        <f t="shared" si="1"/>
        <v>11195199.949999999</v>
      </c>
      <c r="P8" s="22">
        <f t="shared" si="1"/>
        <v>91538834.789999992</v>
      </c>
      <c r="Q8" s="22">
        <f t="shared" si="1"/>
        <v>3322529.12</v>
      </c>
      <c r="R8" s="22">
        <f t="shared" si="1"/>
        <v>0</v>
      </c>
      <c r="S8" s="22">
        <f t="shared" si="1"/>
        <v>45510463.619999997</v>
      </c>
      <c r="T8" s="22">
        <f t="shared" si="1"/>
        <v>18632389.999999996</v>
      </c>
      <c r="U8" s="22">
        <f t="shared" si="1"/>
        <v>39771701.980000004</v>
      </c>
      <c r="V8" s="22">
        <f t="shared" si="1"/>
        <v>111285891.09</v>
      </c>
      <c r="W8" s="22">
        <f t="shared" si="1"/>
        <v>113457858.2</v>
      </c>
      <c r="X8" s="22">
        <f t="shared" si="1"/>
        <v>1681103.2300000063</v>
      </c>
      <c r="Y8" s="22">
        <f t="shared" si="1"/>
        <v>150914202.27999997</v>
      </c>
      <c r="Z8" s="22">
        <f t="shared" si="1"/>
        <v>101182853.28</v>
      </c>
      <c r="AA8" s="22">
        <f t="shared" si="1"/>
        <v>0</v>
      </c>
      <c r="AB8" s="22">
        <f t="shared" si="1"/>
        <v>8.1956386566162109E-8</v>
      </c>
      <c r="AC8" s="434"/>
    </row>
    <row r="9" spans="1:29" ht="45" customHeight="1" x14ac:dyDescent="0.2">
      <c r="B9" s="23" t="s">
        <v>32</v>
      </c>
      <c r="C9" s="24"/>
      <c r="D9" s="25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19">
        <v>0</v>
      </c>
      <c r="U9" s="24"/>
      <c r="V9" s="19">
        <v>0</v>
      </c>
      <c r="W9" s="24"/>
      <c r="X9" s="24"/>
      <c r="Y9" s="24"/>
      <c r="Z9" s="24"/>
      <c r="AA9" s="20"/>
      <c r="AB9" s="19">
        <f t="shared" ref="AB9:AB27" si="2">C9-I9-J9-K9-L9-M9-N9-O9-P9-Q9-R9-S9-T9-U9-V9-W9-X9-Y9-Z9</f>
        <v>0</v>
      </c>
    </row>
    <row r="10" spans="1:29" s="2" customFormat="1" ht="45" customHeight="1" x14ac:dyDescent="0.2">
      <c r="B10" s="26" t="s">
        <v>33</v>
      </c>
      <c r="C10" s="19">
        <v>20123566.509999998</v>
      </c>
      <c r="D10" s="19">
        <v>20123566.509999998</v>
      </c>
      <c r="E10" s="19"/>
      <c r="F10" s="19"/>
      <c r="G10" s="19"/>
      <c r="H10" s="19"/>
      <c r="I10" s="19">
        <v>0</v>
      </c>
      <c r="J10" s="19">
        <v>0</v>
      </c>
      <c r="K10" s="19">
        <v>249973.99</v>
      </c>
      <c r="L10" s="19">
        <v>0</v>
      </c>
      <c r="M10" s="19">
        <v>0</v>
      </c>
      <c r="N10" s="19">
        <v>7088384.0300000003</v>
      </c>
      <c r="O10" s="19"/>
      <c r="P10" s="19">
        <v>539775.12</v>
      </c>
      <c r="Q10" s="19">
        <v>0</v>
      </c>
      <c r="R10" s="19"/>
      <c r="S10" s="19">
        <v>532196.81999999995</v>
      </c>
      <c r="T10" s="19">
        <v>1722224.81</v>
      </c>
      <c r="U10" s="19"/>
      <c r="V10" s="19">
        <v>0</v>
      </c>
      <c r="W10" s="19">
        <v>8806376.3199999984</v>
      </c>
      <c r="X10" s="19">
        <v>1184635.3600000001</v>
      </c>
      <c r="Y10" s="19"/>
      <c r="Z10" s="19"/>
      <c r="AA10" s="27"/>
      <c r="AB10" s="19">
        <f t="shared" si="2"/>
        <v>5.9999999823048711E-2</v>
      </c>
      <c r="AC10" s="28"/>
    </row>
    <row r="11" spans="1:29" s="2" customFormat="1" ht="45" customHeight="1" x14ac:dyDescent="0.2">
      <c r="B11" s="26" t="s">
        <v>34</v>
      </c>
      <c r="C11" s="19">
        <v>66098589.059999987</v>
      </c>
      <c r="D11" s="19">
        <v>66098589.064247981</v>
      </c>
      <c r="E11" s="19"/>
      <c r="F11" s="19"/>
      <c r="G11" s="19"/>
      <c r="H11" s="19"/>
      <c r="I11" s="19">
        <v>1285282</v>
      </c>
      <c r="J11" s="19">
        <v>1652954.71</v>
      </c>
      <c r="K11" s="19">
        <v>39726.35</v>
      </c>
      <c r="L11" s="19">
        <v>12630024.4</v>
      </c>
      <c r="M11" s="19">
        <v>5371844.9499999993</v>
      </c>
      <c r="N11" s="19">
        <v>11291514.48</v>
      </c>
      <c r="O11" s="19"/>
      <c r="P11" s="19">
        <v>4553859.4400000004</v>
      </c>
      <c r="Q11" s="19">
        <v>1159878.8500000001</v>
      </c>
      <c r="R11" s="19"/>
      <c r="S11" s="19">
        <v>0</v>
      </c>
      <c r="T11" s="19">
        <v>2652931.304248</v>
      </c>
      <c r="U11" s="19"/>
      <c r="V11" s="19">
        <v>0</v>
      </c>
      <c r="W11" s="19">
        <v>23111053.239999998</v>
      </c>
      <c r="X11" s="19">
        <v>2349519.48</v>
      </c>
      <c r="Y11" s="19"/>
      <c r="Z11" s="19"/>
      <c r="AA11" s="27"/>
      <c r="AB11" s="19">
        <f t="shared" si="2"/>
        <v>-0.14424801571294665</v>
      </c>
      <c r="AC11" s="28"/>
    </row>
    <row r="12" spans="1:29" s="2" customFormat="1" ht="45" customHeight="1" x14ac:dyDescent="0.2">
      <c r="B12" s="26" t="s">
        <v>35</v>
      </c>
      <c r="C12" s="19">
        <v>30855520.18</v>
      </c>
      <c r="D12" s="19">
        <v>30855520.179076001</v>
      </c>
      <c r="E12" s="19"/>
      <c r="F12" s="19"/>
      <c r="G12" s="19"/>
      <c r="H12" s="19"/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12902427.049999999</v>
      </c>
      <c r="O12" s="19"/>
      <c r="P12" s="19">
        <v>6118376.6699999999</v>
      </c>
      <c r="Q12" s="19">
        <v>0</v>
      </c>
      <c r="R12" s="19"/>
      <c r="S12" s="19">
        <v>0</v>
      </c>
      <c r="T12" s="19">
        <v>476958.08907599997</v>
      </c>
      <c r="U12" s="19"/>
      <c r="V12" s="19">
        <v>0</v>
      </c>
      <c r="W12" s="19">
        <v>10714170.51</v>
      </c>
      <c r="X12" s="19">
        <v>643587.86</v>
      </c>
      <c r="Y12" s="19"/>
      <c r="Z12" s="19"/>
      <c r="AA12" s="29"/>
      <c r="AB12" s="19">
        <f t="shared" si="2"/>
        <v>9.2400365974754095E-4</v>
      </c>
      <c r="AC12" s="28"/>
    </row>
    <row r="13" spans="1:29" s="2" customFormat="1" ht="45" customHeight="1" x14ac:dyDescent="0.25">
      <c r="B13" s="30"/>
      <c r="C13" s="22">
        <f t="shared" ref="C13:V13" si="3">SUM(C10:C12)</f>
        <v>117077675.75</v>
      </c>
      <c r="D13" s="22">
        <f t="shared" si="3"/>
        <v>117077675.75332399</v>
      </c>
      <c r="E13" s="22">
        <f t="shared" si="3"/>
        <v>0</v>
      </c>
      <c r="F13" s="22">
        <f t="shared" si="3"/>
        <v>0</v>
      </c>
      <c r="G13" s="22">
        <f t="shared" si="3"/>
        <v>0</v>
      </c>
      <c r="H13" s="22">
        <f t="shared" si="3"/>
        <v>0</v>
      </c>
      <c r="I13" s="22">
        <f t="shared" si="3"/>
        <v>1285282</v>
      </c>
      <c r="J13" s="22">
        <f t="shared" si="3"/>
        <v>1652954.71</v>
      </c>
      <c r="K13" s="22">
        <f t="shared" si="3"/>
        <v>289700.33999999997</v>
      </c>
      <c r="L13" s="22">
        <f t="shared" si="3"/>
        <v>12630024.4</v>
      </c>
      <c r="M13" s="22">
        <f t="shared" si="3"/>
        <v>5371844.9499999993</v>
      </c>
      <c r="N13" s="22">
        <f t="shared" si="3"/>
        <v>31282325.560000002</v>
      </c>
      <c r="O13" s="22">
        <f t="shared" si="3"/>
        <v>0</v>
      </c>
      <c r="P13" s="22">
        <f t="shared" si="3"/>
        <v>11212011.23</v>
      </c>
      <c r="Q13" s="22">
        <f t="shared" si="3"/>
        <v>1159878.8500000001</v>
      </c>
      <c r="R13" s="22">
        <f t="shared" si="3"/>
        <v>0</v>
      </c>
      <c r="S13" s="22">
        <f t="shared" si="3"/>
        <v>532196.81999999995</v>
      </c>
      <c r="T13" s="22">
        <f t="shared" si="3"/>
        <v>4852114.2033240004</v>
      </c>
      <c r="U13" s="22">
        <f t="shared" si="3"/>
        <v>0</v>
      </c>
      <c r="V13" s="22">
        <f t="shared" si="3"/>
        <v>0</v>
      </c>
      <c r="W13" s="22">
        <f t="shared" ref="W13:AA13" si="4">SUM(W10:W12)</f>
        <v>42631600.069999993</v>
      </c>
      <c r="X13" s="22">
        <f t="shared" si="4"/>
        <v>4177742.6999999997</v>
      </c>
      <c r="Y13" s="22">
        <f t="shared" si="4"/>
        <v>0</v>
      </c>
      <c r="Z13" s="22">
        <f t="shared" si="4"/>
        <v>0</v>
      </c>
      <c r="AA13" s="22">
        <f t="shared" si="4"/>
        <v>0</v>
      </c>
      <c r="AB13" s="19">
        <f t="shared" si="2"/>
        <v>-8.3324004430323839E-2</v>
      </c>
      <c r="AC13" s="28"/>
    </row>
    <row r="14" spans="1:29" s="2" customFormat="1" ht="45" customHeight="1" x14ac:dyDescent="0.2">
      <c r="B14" s="30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>
        <v>0</v>
      </c>
      <c r="U14" s="19"/>
      <c r="V14" s="19">
        <v>0</v>
      </c>
      <c r="W14" s="19"/>
      <c r="X14" s="19"/>
      <c r="Y14" s="19"/>
      <c r="Z14" s="19"/>
      <c r="AA14" s="29"/>
      <c r="AB14" s="19">
        <f t="shared" si="2"/>
        <v>0</v>
      </c>
      <c r="AC14" s="28"/>
    </row>
    <row r="15" spans="1:29" ht="45" customHeight="1" x14ac:dyDescent="0.2">
      <c r="B15" s="23" t="s">
        <v>36</v>
      </c>
      <c r="C15" s="24"/>
      <c r="D15" s="25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19">
        <v>0</v>
      </c>
      <c r="U15" s="24"/>
      <c r="V15" s="19">
        <v>0</v>
      </c>
      <c r="W15" s="24"/>
      <c r="X15" s="24"/>
      <c r="Y15" s="24"/>
      <c r="Z15" s="24"/>
      <c r="AA15" s="20"/>
      <c r="AB15" s="19">
        <f t="shared" si="2"/>
        <v>0</v>
      </c>
    </row>
    <row r="16" spans="1:29" ht="45" customHeight="1" x14ac:dyDescent="0.2">
      <c r="B16" s="31" t="s">
        <v>37</v>
      </c>
      <c r="C16" s="24"/>
      <c r="D16" s="25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19">
        <v>0</v>
      </c>
      <c r="U16" s="24"/>
      <c r="V16" s="19">
        <v>0</v>
      </c>
      <c r="W16" s="24"/>
      <c r="X16" s="24"/>
      <c r="Y16" s="24"/>
      <c r="Z16" s="24"/>
      <c r="AA16" s="20"/>
      <c r="AB16" s="19">
        <f t="shared" si="2"/>
        <v>0</v>
      </c>
    </row>
    <row r="17" spans="2:28" ht="45" customHeight="1" x14ac:dyDescent="0.25">
      <c r="B17" s="32" t="s">
        <v>38</v>
      </c>
      <c r="C17" s="22">
        <v>17018752.77</v>
      </c>
      <c r="D17" s="22">
        <v>5518752.7699999996</v>
      </c>
      <c r="E17" s="22">
        <v>5500000</v>
      </c>
      <c r="F17" s="22">
        <v>4000000</v>
      </c>
      <c r="G17" s="22">
        <v>2000000</v>
      </c>
      <c r="H17" s="24"/>
      <c r="I17" s="24"/>
      <c r="J17" s="22">
        <v>5953737</v>
      </c>
      <c r="K17" s="24"/>
      <c r="L17" s="24"/>
      <c r="M17" s="24"/>
      <c r="N17" s="24"/>
      <c r="O17" s="24"/>
      <c r="P17" s="22">
        <v>2426362.19</v>
      </c>
      <c r="Q17" s="24"/>
      <c r="R17" s="24"/>
      <c r="S17" s="22"/>
      <c r="T17" s="19">
        <v>5174752.7699999996</v>
      </c>
      <c r="U17" s="33">
        <v>3463900.8100000005</v>
      </c>
      <c r="V17" s="19">
        <v>0</v>
      </c>
      <c r="W17" s="24"/>
      <c r="X17" s="24"/>
      <c r="Y17" s="24"/>
      <c r="Z17" s="24"/>
      <c r="AA17" s="20"/>
      <c r="AB17" s="19">
        <f t="shared" si="2"/>
        <v>0</v>
      </c>
    </row>
    <row r="18" spans="2:28" ht="45" customHeight="1" x14ac:dyDescent="0.2">
      <c r="B18" s="26"/>
      <c r="C18" s="24"/>
      <c r="D18" s="25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33"/>
      <c r="T18" s="19">
        <v>0</v>
      </c>
      <c r="U18" s="24"/>
      <c r="V18" s="19">
        <v>0</v>
      </c>
      <c r="W18" s="24"/>
      <c r="X18" s="24"/>
      <c r="Y18" s="24"/>
      <c r="Z18" s="24"/>
      <c r="AA18" s="20"/>
      <c r="AB18" s="19">
        <f t="shared" si="2"/>
        <v>0</v>
      </c>
    </row>
    <row r="19" spans="2:28" ht="45" customHeight="1" x14ac:dyDescent="0.2">
      <c r="B19" s="31" t="s">
        <v>39</v>
      </c>
      <c r="C19" s="24"/>
      <c r="D19" s="25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19">
        <v>0</v>
      </c>
      <c r="U19" s="24"/>
      <c r="V19" s="19">
        <v>0</v>
      </c>
      <c r="W19" s="19"/>
      <c r="X19" s="24"/>
      <c r="Y19" s="24"/>
      <c r="Z19" s="24"/>
      <c r="AA19" s="20"/>
      <c r="AB19" s="19">
        <f t="shared" si="2"/>
        <v>0</v>
      </c>
    </row>
    <row r="20" spans="2:28" ht="45" customHeight="1" x14ac:dyDescent="0.25">
      <c r="B20" s="32" t="s">
        <v>40</v>
      </c>
      <c r="C20" s="22">
        <v>3356393</v>
      </c>
      <c r="D20" s="22">
        <v>706393</v>
      </c>
      <c r="E20" s="22">
        <v>1150000</v>
      </c>
      <c r="F20" s="22">
        <v>1000000</v>
      </c>
      <c r="G20" s="22">
        <v>500000</v>
      </c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19">
        <v>600000</v>
      </c>
      <c r="U20" s="33">
        <v>1150000</v>
      </c>
      <c r="V20" s="19">
        <v>1500000</v>
      </c>
      <c r="W20" s="19"/>
      <c r="X20" s="22">
        <v>106393</v>
      </c>
      <c r="Y20" s="24"/>
      <c r="Z20" s="24"/>
      <c r="AA20" s="20"/>
      <c r="AB20" s="19">
        <f t="shared" si="2"/>
        <v>0</v>
      </c>
    </row>
    <row r="21" spans="2:28" ht="45" customHeight="1" x14ac:dyDescent="0.2">
      <c r="B21" s="20"/>
      <c r="C21" s="24"/>
      <c r="D21" s="25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19">
        <v>0</v>
      </c>
      <c r="U21" s="24"/>
      <c r="V21" s="19">
        <v>0</v>
      </c>
      <c r="W21" s="19"/>
      <c r="X21" s="24"/>
      <c r="Y21" s="24"/>
      <c r="Z21" s="24"/>
      <c r="AA21" s="20"/>
      <c r="AB21" s="19">
        <f t="shared" si="2"/>
        <v>0</v>
      </c>
    </row>
    <row r="22" spans="2:28" ht="45" customHeight="1" x14ac:dyDescent="0.2">
      <c r="B22" s="31" t="s">
        <v>41</v>
      </c>
      <c r="C22" s="24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19">
        <v>0</v>
      </c>
      <c r="U22" s="24"/>
      <c r="V22" s="19">
        <v>0</v>
      </c>
      <c r="W22" s="19"/>
      <c r="X22" s="24"/>
      <c r="Y22" s="24"/>
      <c r="Z22" s="24"/>
      <c r="AA22" s="20"/>
      <c r="AB22" s="19">
        <f t="shared" si="2"/>
        <v>0</v>
      </c>
    </row>
    <row r="23" spans="2:28" ht="45" customHeight="1" x14ac:dyDescent="0.25">
      <c r="B23" s="32" t="s">
        <v>42</v>
      </c>
      <c r="C23" s="22">
        <v>10450974.18</v>
      </c>
      <c r="D23" s="22">
        <v>2639503.2799999998</v>
      </c>
      <c r="E23" s="22">
        <v>3280000</v>
      </c>
      <c r="F23" s="22">
        <v>2987373.69</v>
      </c>
      <c r="G23" s="22">
        <v>1544097.21</v>
      </c>
      <c r="H23" s="24"/>
      <c r="I23" s="24"/>
      <c r="J23" s="24"/>
      <c r="K23" s="24"/>
      <c r="L23" s="24"/>
      <c r="M23" s="24"/>
      <c r="N23" s="24"/>
      <c r="O23" s="24"/>
      <c r="P23" s="22">
        <v>1123878</v>
      </c>
      <c r="Q23" s="24"/>
      <c r="R23" s="24"/>
      <c r="S23" s="24"/>
      <c r="T23" s="19">
        <v>2639503</v>
      </c>
      <c r="U23" s="33">
        <v>1847397.21</v>
      </c>
      <c r="V23" s="19">
        <v>0</v>
      </c>
      <c r="W23" s="22">
        <v>4840195.97</v>
      </c>
      <c r="X23" s="24"/>
      <c r="Y23" s="24"/>
      <c r="Z23" s="24"/>
      <c r="AA23" s="20"/>
      <c r="AB23" s="19">
        <f t="shared" si="2"/>
        <v>0</v>
      </c>
    </row>
    <row r="24" spans="2:28" ht="45" customHeight="1" x14ac:dyDescent="0.2">
      <c r="B24" s="20"/>
      <c r="C24" s="24"/>
      <c r="D24" s="25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19">
        <v>0</v>
      </c>
      <c r="U24" s="24"/>
      <c r="V24" s="19">
        <v>0</v>
      </c>
      <c r="W24" s="19"/>
      <c r="X24" s="24"/>
      <c r="Y24" s="24"/>
      <c r="Z24" s="24"/>
      <c r="AA24" s="20"/>
      <c r="AB24" s="19">
        <f t="shared" si="2"/>
        <v>0</v>
      </c>
    </row>
    <row r="25" spans="2:28" ht="45" customHeight="1" x14ac:dyDescent="0.25">
      <c r="B25" s="32" t="s">
        <v>43</v>
      </c>
      <c r="C25" s="22">
        <v>8319580.1200000001</v>
      </c>
      <c r="D25" s="22">
        <v>952580.12</v>
      </c>
      <c r="E25" s="22">
        <v>3767000</v>
      </c>
      <c r="F25" s="22">
        <v>1740000</v>
      </c>
      <c r="G25" s="22">
        <v>1860000</v>
      </c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19">
        <v>952580.12</v>
      </c>
      <c r="U25" s="33">
        <v>3767000</v>
      </c>
      <c r="V25" s="19">
        <v>3600000</v>
      </c>
      <c r="W25" s="19"/>
      <c r="X25" s="24"/>
      <c r="Y25" s="24"/>
      <c r="Z25" s="24"/>
      <c r="AA25" s="20"/>
      <c r="AB25" s="19">
        <f t="shared" si="2"/>
        <v>0</v>
      </c>
    </row>
    <row r="26" spans="2:28" ht="45" customHeight="1" x14ac:dyDescent="0.2">
      <c r="B26" s="32"/>
      <c r="C26" s="24"/>
      <c r="D26" s="19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19">
        <v>0</v>
      </c>
      <c r="U26" s="24"/>
      <c r="V26" s="19">
        <v>0</v>
      </c>
      <c r="W26" s="19"/>
      <c r="X26" s="24"/>
      <c r="Y26" s="24"/>
      <c r="Z26" s="24"/>
      <c r="AA26" s="20"/>
      <c r="AB26" s="19">
        <f t="shared" si="2"/>
        <v>0</v>
      </c>
    </row>
    <row r="27" spans="2:28" ht="45" hidden="1" customHeight="1" x14ac:dyDescent="0.2">
      <c r="B27" s="20"/>
      <c r="C27" s="24"/>
      <c r="D27" s="25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19">
        <v>0</v>
      </c>
      <c r="W27" s="19"/>
      <c r="X27" s="24"/>
      <c r="Y27" s="24"/>
      <c r="Z27" s="24"/>
      <c r="AA27" s="20"/>
      <c r="AB27" s="19">
        <f t="shared" si="2"/>
        <v>0</v>
      </c>
    </row>
    <row r="28" spans="2:28" s="2" customFormat="1" ht="53.1" customHeight="1" x14ac:dyDescent="0.25">
      <c r="B28" s="32"/>
      <c r="C28" s="22">
        <f t="shared" ref="C28:Z28" si="5">C8+C13+C17+C20+C23+C25</f>
        <v>1068395254.26</v>
      </c>
      <c r="D28" s="22">
        <f t="shared" si="5"/>
        <v>637036850.79332399</v>
      </c>
      <c r="E28" s="22">
        <f t="shared" si="5"/>
        <v>77212866.900000006</v>
      </c>
      <c r="F28" s="22">
        <f t="shared" si="5"/>
        <v>116494780.81999999</v>
      </c>
      <c r="G28" s="22">
        <f t="shared" si="5"/>
        <v>85449331.189999998</v>
      </c>
      <c r="H28" s="22">
        <f t="shared" si="5"/>
        <v>152201424.56</v>
      </c>
      <c r="I28" s="22">
        <f t="shared" si="5"/>
        <v>23052439.5</v>
      </c>
      <c r="J28" s="22">
        <f t="shared" si="5"/>
        <v>8970491.7100000009</v>
      </c>
      <c r="K28" s="22">
        <f t="shared" si="5"/>
        <v>152091631.47999999</v>
      </c>
      <c r="L28" s="22">
        <f t="shared" si="5"/>
        <v>12630024.4</v>
      </c>
      <c r="M28" s="22">
        <f t="shared" si="5"/>
        <v>6359274.5599999996</v>
      </c>
      <c r="N28" s="22">
        <f t="shared" si="5"/>
        <v>79040858.210000008</v>
      </c>
      <c r="O28" s="22">
        <f t="shared" si="5"/>
        <v>11195199.949999999</v>
      </c>
      <c r="P28" s="22">
        <f t="shared" si="5"/>
        <v>106301086.20999999</v>
      </c>
      <c r="Q28" s="22">
        <f t="shared" si="5"/>
        <v>4482407.9700000007</v>
      </c>
      <c r="R28" s="22">
        <f t="shared" si="5"/>
        <v>0</v>
      </c>
      <c r="S28" s="22">
        <f t="shared" si="5"/>
        <v>46042660.439999998</v>
      </c>
      <c r="T28" s="22">
        <f t="shared" si="5"/>
        <v>32851340.093323998</v>
      </c>
      <c r="U28" s="22">
        <f t="shared" si="5"/>
        <v>50000000.000000007</v>
      </c>
      <c r="V28" s="22">
        <f t="shared" si="5"/>
        <v>116385891.09</v>
      </c>
      <c r="W28" s="22">
        <f t="shared" si="5"/>
        <v>160929654.23999998</v>
      </c>
      <c r="X28" s="22">
        <f t="shared" si="5"/>
        <v>5965238.9300000062</v>
      </c>
      <c r="Y28" s="22">
        <f t="shared" si="5"/>
        <v>150914202.27999997</v>
      </c>
      <c r="Z28" s="22">
        <f t="shared" si="5"/>
        <v>101182853.28</v>
      </c>
      <c r="AA28" s="22">
        <f t="shared" ref="AA28:AB28" si="6">AA8+AA13+AA17+AA20+AA23+AA25</f>
        <v>0</v>
      </c>
      <c r="AB28" s="22">
        <f t="shared" si="6"/>
        <v>-8.3323922473937273E-2</v>
      </c>
    </row>
    <row r="29" spans="2:28" x14ac:dyDescent="0.2">
      <c r="B29" s="20"/>
      <c r="C29" s="20"/>
      <c r="D29" s="29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7"/>
      <c r="X29" s="20"/>
      <c r="Y29" s="20"/>
      <c r="Z29" s="20"/>
      <c r="AA29" s="20"/>
      <c r="AB29" s="20"/>
    </row>
    <row r="30" spans="2:28" x14ac:dyDescent="0.2">
      <c r="W30" s="34"/>
    </row>
  </sheetData>
  <sheetProtection selectLockedCells="1" selectUnlockedCells="1"/>
  <mergeCells count="4">
    <mergeCell ref="E2:H2"/>
    <mergeCell ref="I2:K2"/>
    <mergeCell ref="L2:P2"/>
    <mergeCell ref="Q2:X2"/>
  </mergeCells>
  <pageMargins left="0.23622047244094491" right="0.23622047244094491" top="0.74803149606299213" bottom="0.74803149606299213" header="0.51181102362204722" footer="0.51181102362204722"/>
  <pageSetup paperSize="8" scale="35" firstPageNumber="0" fitToHeight="0" orientation="landscape" r:id="rId1"/>
  <headerFooter alignWithMargins="0">
    <oddHeader>&amp;RALLEGATO 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B1:BG45"/>
  <sheetViews>
    <sheetView topLeftCell="D1" zoomScale="50" zoomScaleNormal="50" workbookViewId="0">
      <pane xSplit="12" ySplit="5" topLeftCell="AN42" activePane="bottomRight" state="frozen"/>
      <selection activeCell="D1" sqref="D1"/>
      <selection pane="topRight" activeCell="P1" sqref="P1"/>
      <selection pane="bottomLeft" activeCell="D6" sqref="D6"/>
      <selection pane="bottomRight" activeCell="L29" sqref="L29:O29"/>
    </sheetView>
  </sheetViews>
  <sheetFormatPr defaultColWidth="13" defaultRowHeight="23.25" x14ac:dyDescent="0.2"/>
  <cols>
    <col min="1" max="3" width="0" style="53" hidden="1" customWidth="1"/>
    <col min="4" max="4" width="13.7109375" style="61" customWidth="1"/>
    <col min="5" max="8" width="0" style="105" hidden="1" customWidth="1"/>
    <col min="9" max="9" width="46.5703125" style="53" customWidth="1"/>
    <col min="10" max="10" width="32.7109375" style="53" customWidth="1"/>
    <col min="11" max="11" width="32.85546875" style="53" customWidth="1"/>
    <col min="12" max="12" width="31.5703125" style="53" customWidth="1"/>
    <col min="13" max="13" width="32.140625" style="53" customWidth="1"/>
    <col min="14" max="14" width="29" style="53" customWidth="1"/>
    <col min="15" max="15" width="32" style="53" customWidth="1"/>
    <col min="16" max="16" width="28.140625" style="53" bestFit="1" customWidth="1"/>
    <col min="17" max="17" width="23" style="53" bestFit="1" customWidth="1"/>
    <col min="18" max="18" width="43.85546875" style="53" bestFit="1" customWidth="1"/>
    <col min="19" max="19" width="39.5703125" style="53" hidden="1" customWidth="1"/>
    <col min="20" max="20" width="32.140625" style="53" hidden="1" customWidth="1"/>
    <col min="21" max="21" width="25" style="53" bestFit="1" customWidth="1"/>
    <col min="22" max="22" width="26.42578125" style="53" customWidth="1"/>
    <col min="23" max="23" width="41.5703125" style="53" bestFit="1" customWidth="1"/>
    <col min="24" max="24" width="25" style="53" bestFit="1" customWidth="1"/>
    <col min="25" max="25" width="49.28515625" style="53" bestFit="1" customWidth="1"/>
    <col min="26" max="26" width="26.140625" style="53" hidden="1" customWidth="1"/>
    <col min="27" max="27" width="43" style="53" hidden="1" customWidth="1"/>
    <col min="28" max="28" width="26.7109375" style="53" hidden="1" customWidth="1"/>
    <col min="29" max="29" width="26.140625" style="53" hidden="1" customWidth="1"/>
    <col min="30" max="31" width="24" style="53" hidden="1" customWidth="1"/>
    <col min="32" max="32" width="25" style="53" hidden="1" customWidth="1"/>
    <col min="33" max="33" width="24.140625" style="53" hidden="1" customWidth="1"/>
    <col min="34" max="34" width="21.85546875" style="53" hidden="1" customWidth="1"/>
    <col min="35" max="35" width="24.7109375" style="53" hidden="1" customWidth="1"/>
    <col min="36" max="36" width="33.28515625" style="53" bestFit="1" customWidth="1"/>
    <col min="37" max="38" width="23.85546875" style="53" customWidth="1"/>
    <col min="39" max="40" width="29.42578125" style="53" customWidth="1"/>
    <col min="41" max="41" width="33.85546875" style="53" customWidth="1"/>
    <col min="42" max="42" width="30.140625" style="53" customWidth="1"/>
    <col min="43" max="47" width="0" style="53" hidden="1" customWidth="1"/>
    <col min="48" max="48" width="33.28515625" style="53" customWidth="1"/>
    <col min="49" max="49" width="24.7109375" style="53" hidden="1" customWidth="1"/>
    <col min="50" max="50" width="13" style="53" hidden="1" customWidth="1"/>
    <col min="51" max="51" width="24.7109375" style="53" hidden="1" customWidth="1"/>
    <col min="52" max="52" width="34.140625" style="53" hidden="1" customWidth="1"/>
    <col min="53" max="53" width="31.42578125" style="53" customWidth="1"/>
    <col min="54" max="54" width="31.7109375" style="53" hidden="1" customWidth="1"/>
    <col min="55" max="55" width="32" style="53" hidden="1" customWidth="1"/>
    <col min="56" max="56" width="29.42578125" style="53" customWidth="1"/>
    <col min="57" max="58" width="0" style="53" hidden="1" customWidth="1"/>
    <col min="59" max="59" width="30.7109375" style="53" customWidth="1"/>
    <col min="60" max="256" width="13" style="53"/>
    <col min="257" max="259" width="0" style="53" hidden="1" customWidth="1"/>
    <col min="260" max="260" width="13.7109375" style="53" customWidth="1"/>
    <col min="261" max="264" width="0" style="53" hidden="1" customWidth="1"/>
    <col min="265" max="265" width="46.5703125" style="53" customWidth="1"/>
    <col min="266" max="266" width="32.7109375" style="53" customWidth="1"/>
    <col min="267" max="267" width="32.85546875" style="53" customWidth="1"/>
    <col min="268" max="268" width="31.5703125" style="53" customWidth="1"/>
    <col min="269" max="269" width="32.140625" style="53" customWidth="1"/>
    <col min="270" max="270" width="29" style="53" customWidth="1"/>
    <col min="271" max="271" width="32" style="53" customWidth="1"/>
    <col min="272" max="272" width="28.140625" style="53" bestFit="1" customWidth="1"/>
    <col min="273" max="273" width="23" style="53" bestFit="1" customWidth="1"/>
    <col min="274" max="274" width="43.85546875" style="53" bestFit="1" customWidth="1"/>
    <col min="275" max="276" width="0" style="53" hidden="1" customWidth="1"/>
    <col min="277" max="277" width="25" style="53" bestFit="1" customWidth="1"/>
    <col min="278" max="278" width="26.42578125" style="53" customWidth="1"/>
    <col min="279" max="279" width="41.5703125" style="53" bestFit="1" customWidth="1"/>
    <col min="280" max="280" width="25" style="53" bestFit="1" customWidth="1"/>
    <col min="281" max="281" width="49.28515625" style="53" bestFit="1" customWidth="1"/>
    <col min="282" max="291" width="0" style="53" hidden="1" customWidth="1"/>
    <col min="292" max="292" width="33.28515625" style="53" bestFit="1" customWidth="1"/>
    <col min="293" max="294" width="23.85546875" style="53" customWidth="1"/>
    <col min="295" max="296" width="29.42578125" style="53" customWidth="1"/>
    <col min="297" max="297" width="33.85546875" style="53" customWidth="1"/>
    <col min="298" max="298" width="30.140625" style="53" customWidth="1"/>
    <col min="299" max="303" width="0" style="53" hidden="1" customWidth="1"/>
    <col min="304" max="304" width="33.28515625" style="53" customWidth="1"/>
    <col min="305" max="308" width="0" style="53" hidden="1" customWidth="1"/>
    <col min="309" max="309" width="31.42578125" style="53" customWidth="1"/>
    <col min="310" max="311" width="0" style="53" hidden="1" customWidth="1"/>
    <col min="312" max="312" width="29.42578125" style="53" customWidth="1"/>
    <col min="313" max="314" width="0" style="53" hidden="1" customWidth="1"/>
    <col min="315" max="315" width="30.7109375" style="53" customWidth="1"/>
    <col min="316" max="512" width="13" style="53"/>
    <col min="513" max="515" width="0" style="53" hidden="1" customWidth="1"/>
    <col min="516" max="516" width="13.7109375" style="53" customWidth="1"/>
    <col min="517" max="520" width="0" style="53" hidden="1" customWidth="1"/>
    <col min="521" max="521" width="46.5703125" style="53" customWidth="1"/>
    <col min="522" max="522" width="32.7109375" style="53" customWidth="1"/>
    <col min="523" max="523" width="32.85546875" style="53" customWidth="1"/>
    <col min="524" max="524" width="31.5703125" style="53" customWidth="1"/>
    <col min="525" max="525" width="32.140625" style="53" customWidth="1"/>
    <col min="526" max="526" width="29" style="53" customWidth="1"/>
    <col min="527" max="527" width="32" style="53" customWidth="1"/>
    <col min="528" max="528" width="28.140625" style="53" bestFit="1" customWidth="1"/>
    <col min="529" max="529" width="23" style="53" bestFit="1" customWidth="1"/>
    <col min="530" max="530" width="43.85546875" style="53" bestFit="1" customWidth="1"/>
    <col min="531" max="532" width="0" style="53" hidden="1" customWidth="1"/>
    <col min="533" max="533" width="25" style="53" bestFit="1" customWidth="1"/>
    <col min="534" max="534" width="26.42578125" style="53" customWidth="1"/>
    <col min="535" max="535" width="41.5703125" style="53" bestFit="1" customWidth="1"/>
    <col min="536" max="536" width="25" style="53" bestFit="1" customWidth="1"/>
    <col min="537" max="537" width="49.28515625" style="53" bestFit="1" customWidth="1"/>
    <col min="538" max="547" width="0" style="53" hidden="1" customWidth="1"/>
    <col min="548" max="548" width="33.28515625" style="53" bestFit="1" customWidth="1"/>
    <col min="549" max="550" width="23.85546875" style="53" customWidth="1"/>
    <col min="551" max="552" width="29.42578125" style="53" customWidth="1"/>
    <col min="553" max="553" width="33.85546875" style="53" customWidth="1"/>
    <col min="554" max="554" width="30.140625" style="53" customWidth="1"/>
    <col min="555" max="559" width="0" style="53" hidden="1" customWidth="1"/>
    <col min="560" max="560" width="33.28515625" style="53" customWidth="1"/>
    <col min="561" max="564" width="0" style="53" hidden="1" customWidth="1"/>
    <col min="565" max="565" width="31.42578125" style="53" customWidth="1"/>
    <col min="566" max="567" width="0" style="53" hidden="1" customWidth="1"/>
    <col min="568" max="568" width="29.42578125" style="53" customWidth="1"/>
    <col min="569" max="570" width="0" style="53" hidden="1" customWidth="1"/>
    <col min="571" max="571" width="30.7109375" style="53" customWidth="1"/>
    <col min="572" max="768" width="13" style="53"/>
    <col min="769" max="771" width="0" style="53" hidden="1" customWidth="1"/>
    <col min="772" max="772" width="13.7109375" style="53" customWidth="1"/>
    <col min="773" max="776" width="0" style="53" hidden="1" customWidth="1"/>
    <col min="777" max="777" width="46.5703125" style="53" customWidth="1"/>
    <col min="778" max="778" width="32.7109375" style="53" customWidth="1"/>
    <col min="779" max="779" width="32.85546875" style="53" customWidth="1"/>
    <col min="780" max="780" width="31.5703125" style="53" customWidth="1"/>
    <col min="781" max="781" width="32.140625" style="53" customWidth="1"/>
    <col min="782" max="782" width="29" style="53" customWidth="1"/>
    <col min="783" max="783" width="32" style="53" customWidth="1"/>
    <col min="784" max="784" width="28.140625" style="53" bestFit="1" customWidth="1"/>
    <col min="785" max="785" width="23" style="53" bestFit="1" customWidth="1"/>
    <col min="786" max="786" width="43.85546875" style="53" bestFit="1" customWidth="1"/>
    <col min="787" max="788" width="0" style="53" hidden="1" customWidth="1"/>
    <col min="789" max="789" width="25" style="53" bestFit="1" customWidth="1"/>
    <col min="790" max="790" width="26.42578125" style="53" customWidth="1"/>
    <col min="791" max="791" width="41.5703125" style="53" bestFit="1" customWidth="1"/>
    <col min="792" max="792" width="25" style="53" bestFit="1" customWidth="1"/>
    <col min="793" max="793" width="49.28515625" style="53" bestFit="1" customWidth="1"/>
    <col min="794" max="803" width="0" style="53" hidden="1" customWidth="1"/>
    <col min="804" max="804" width="33.28515625" style="53" bestFit="1" customWidth="1"/>
    <col min="805" max="806" width="23.85546875" style="53" customWidth="1"/>
    <col min="807" max="808" width="29.42578125" style="53" customWidth="1"/>
    <col min="809" max="809" width="33.85546875" style="53" customWidth="1"/>
    <col min="810" max="810" width="30.140625" style="53" customWidth="1"/>
    <col min="811" max="815" width="0" style="53" hidden="1" customWidth="1"/>
    <col min="816" max="816" width="33.28515625" style="53" customWidth="1"/>
    <col min="817" max="820" width="0" style="53" hidden="1" customWidth="1"/>
    <col min="821" max="821" width="31.42578125" style="53" customWidth="1"/>
    <col min="822" max="823" width="0" style="53" hidden="1" customWidth="1"/>
    <col min="824" max="824" width="29.42578125" style="53" customWidth="1"/>
    <col min="825" max="826" width="0" style="53" hidden="1" customWidth="1"/>
    <col min="827" max="827" width="30.7109375" style="53" customWidth="1"/>
    <col min="828" max="1024" width="13" style="53"/>
    <col min="1025" max="1027" width="0" style="53" hidden="1" customWidth="1"/>
    <col min="1028" max="1028" width="13.7109375" style="53" customWidth="1"/>
    <col min="1029" max="1032" width="0" style="53" hidden="1" customWidth="1"/>
    <col min="1033" max="1033" width="46.5703125" style="53" customWidth="1"/>
    <col min="1034" max="1034" width="32.7109375" style="53" customWidth="1"/>
    <col min="1035" max="1035" width="32.85546875" style="53" customWidth="1"/>
    <col min="1036" max="1036" width="31.5703125" style="53" customWidth="1"/>
    <col min="1037" max="1037" width="32.140625" style="53" customWidth="1"/>
    <col min="1038" max="1038" width="29" style="53" customWidth="1"/>
    <col min="1039" max="1039" width="32" style="53" customWidth="1"/>
    <col min="1040" max="1040" width="28.140625" style="53" bestFit="1" customWidth="1"/>
    <col min="1041" max="1041" width="23" style="53" bestFit="1" customWidth="1"/>
    <col min="1042" max="1042" width="43.85546875" style="53" bestFit="1" customWidth="1"/>
    <col min="1043" max="1044" width="0" style="53" hidden="1" customWidth="1"/>
    <col min="1045" max="1045" width="25" style="53" bestFit="1" customWidth="1"/>
    <col min="1046" max="1046" width="26.42578125" style="53" customWidth="1"/>
    <col min="1047" max="1047" width="41.5703125" style="53" bestFit="1" customWidth="1"/>
    <col min="1048" max="1048" width="25" style="53" bestFit="1" customWidth="1"/>
    <col min="1049" max="1049" width="49.28515625" style="53" bestFit="1" customWidth="1"/>
    <col min="1050" max="1059" width="0" style="53" hidden="1" customWidth="1"/>
    <col min="1060" max="1060" width="33.28515625" style="53" bestFit="1" customWidth="1"/>
    <col min="1061" max="1062" width="23.85546875" style="53" customWidth="1"/>
    <col min="1063" max="1064" width="29.42578125" style="53" customWidth="1"/>
    <col min="1065" max="1065" width="33.85546875" style="53" customWidth="1"/>
    <col min="1066" max="1066" width="30.140625" style="53" customWidth="1"/>
    <col min="1067" max="1071" width="0" style="53" hidden="1" customWidth="1"/>
    <col min="1072" max="1072" width="33.28515625" style="53" customWidth="1"/>
    <col min="1073" max="1076" width="0" style="53" hidden="1" customWidth="1"/>
    <col min="1077" max="1077" width="31.42578125" style="53" customWidth="1"/>
    <col min="1078" max="1079" width="0" style="53" hidden="1" customWidth="1"/>
    <col min="1080" max="1080" width="29.42578125" style="53" customWidth="1"/>
    <col min="1081" max="1082" width="0" style="53" hidden="1" customWidth="1"/>
    <col min="1083" max="1083" width="30.7109375" style="53" customWidth="1"/>
    <col min="1084" max="1280" width="13" style="53"/>
    <col min="1281" max="1283" width="0" style="53" hidden="1" customWidth="1"/>
    <col min="1284" max="1284" width="13.7109375" style="53" customWidth="1"/>
    <col min="1285" max="1288" width="0" style="53" hidden="1" customWidth="1"/>
    <col min="1289" max="1289" width="46.5703125" style="53" customWidth="1"/>
    <col min="1290" max="1290" width="32.7109375" style="53" customWidth="1"/>
    <col min="1291" max="1291" width="32.85546875" style="53" customWidth="1"/>
    <col min="1292" max="1292" width="31.5703125" style="53" customWidth="1"/>
    <col min="1293" max="1293" width="32.140625" style="53" customWidth="1"/>
    <col min="1294" max="1294" width="29" style="53" customWidth="1"/>
    <col min="1295" max="1295" width="32" style="53" customWidth="1"/>
    <col min="1296" max="1296" width="28.140625" style="53" bestFit="1" customWidth="1"/>
    <col min="1297" max="1297" width="23" style="53" bestFit="1" customWidth="1"/>
    <col min="1298" max="1298" width="43.85546875" style="53" bestFit="1" customWidth="1"/>
    <col min="1299" max="1300" width="0" style="53" hidden="1" customWidth="1"/>
    <col min="1301" max="1301" width="25" style="53" bestFit="1" customWidth="1"/>
    <col min="1302" max="1302" width="26.42578125" style="53" customWidth="1"/>
    <col min="1303" max="1303" width="41.5703125" style="53" bestFit="1" customWidth="1"/>
    <col min="1304" max="1304" width="25" style="53" bestFit="1" customWidth="1"/>
    <col min="1305" max="1305" width="49.28515625" style="53" bestFit="1" customWidth="1"/>
    <col min="1306" max="1315" width="0" style="53" hidden="1" customWidth="1"/>
    <col min="1316" max="1316" width="33.28515625" style="53" bestFit="1" customWidth="1"/>
    <col min="1317" max="1318" width="23.85546875" style="53" customWidth="1"/>
    <col min="1319" max="1320" width="29.42578125" style="53" customWidth="1"/>
    <col min="1321" max="1321" width="33.85546875" style="53" customWidth="1"/>
    <col min="1322" max="1322" width="30.140625" style="53" customWidth="1"/>
    <col min="1323" max="1327" width="0" style="53" hidden="1" customWidth="1"/>
    <col min="1328" max="1328" width="33.28515625" style="53" customWidth="1"/>
    <col min="1329" max="1332" width="0" style="53" hidden="1" customWidth="1"/>
    <col min="1333" max="1333" width="31.42578125" style="53" customWidth="1"/>
    <col min="1334" max="1335" width="0" style="53" hidden="1" customWidth="1"/>
    <col min="1336" max="1336" width="29.42578125" style="53" customWidth="1"/>
    <col min="1337" max="1338" width="0" style="53" hidden="1" customWidth="1"/>
    <col min="1339" max="1339" width="30.7109375" style="53" customWidth="1"/>
    <col min="1340" max="1536" width="13" style="53"/>
    <col min="1537" max="1539" width="0" style="53" hidden="1" customWidth="1"/>
    <col min="1540" max="1540" width="13.7109375" style="53" customWidth="1"/>
    <col min="1541" max="1544" width="0" style="53" hidden="1" customWidth="1"/>
    <col min="1545" max="1545" width="46.5703125" style="53" customWidth="1"/>
    <col min="1546" max="1546" width="32.7109375" style="53" customWidth="1"/>
    <col min="1547" max="1547" width="32.85546875" style="53" customWidth="1"/>
    <col min="1548" max="1548" width="31.5703125" style="53" customWidth="1"/>
    <col min="1549" max="1549" width="32.140625" style="53" customWidth="1"/>
    <col min="1550" max="1550" width="29" style="53" customWidth="1"/>
    <col min="1551" max="1551" width="32" style="53" customWidth="1"/>
    <col min="1552" max="1552" width="28.140625" style="53" bestFit="1" customWidth="1"/>
    <col min="1553" max="1553" width="23" style="53" bestFit="1" customWidth="1"/>
    <col min="1554" max="1554" width="43.85546875" style="53" bestFit="1" customWidth="1"/>
    <col min="1555" max="1556" width="0" style="53" hidden="1" customWidth="1"/>
    <col min="1557" max="1557" width="25" style="53" bestFit="1" customWidth="1"/>
    <col min="1558" max="1558" width="26.42578125" style="53" customWidth="1"/>
    <col min="1559" max="1559" width="41.5703125" style="53" bestFit="1" customWidth="1"/>
    <col min="1560" max="1560" width="25" style="53" bestFit="1" customWidth="1"/>
    <col min="1561" max="1561" width="49.28515625" style="53" bestFit="1" customWidth="1"/>
    <col min="1562" max="1571" width="0" style="53" hidden="1" customWidth="1"/>
    <col min="1572" max="1572" width="33.28515625" style="53" bestFit="1" customWidth="1"/>
    <col min="1573" max="1574" width="23.85546875" style="53" customWidth="1"/>
    <col min="1575" max="1576" width="29.42578125" style="53" customWidth="1"/>
    <col min="1577" max="1577" width="33.85546875" style="53" customWidth="1"/>
    <col min="1578" max="1578" width="30.140625" style="53" customWidth="1"/>
    <col min="1579" max="1583" width="0" style="53" hidden="1" customWidth="1"/>
    <col min="1584" max="1584" width="33.28515625" style="53" customWidth="1"/>
    <col min="1585" max="1588" width="0" style="53" hidden="1" customWidth="1"/>
    <col min="1589" max="1589" width="31.42578125" style="53" customWidth="1"/>
    <col min="1590" max="1591" width="0" style="53" hidden="1" customWidth="1"/>
    <col min="1592" max="1592" width="29.42578125" style="53" customWidth="1"/>
    <col min="1593" max="1594" width="0" style="53" hidden="1" customWidth="1"/>
    <col min="1595" max="1595" width="30.7109375" style="53" customWidth="1"/>
    <col min="1596" max="1792" width="13" style="53"/>
    <col min="1793" max="1795" width="0" style="53" hidden="1" customWidth="1"/>
    <col min="1796" max="1796" width="13.7109375" style="53" customWidth="1"/>
    <col min="1797" max="1800" width="0" style="53" hidden="1" customWidth="1"/>
    <col min="1801" max="1801" width="46.5703125" style="53" customWidth="1"/>
    <col min="1802" max="1802" width="32.7109375" style="53" customWidth="1"/>
    <col min="1803" max="1803" width="32.85546875" style="53" customWidth="1"/>
    <col min="1804" max="1804" width="31.5703125" style="53" customWidth="1"/>
    <col min="1805" max="1805" width="32.140625" style="53" customWidth="1"/>
    <col min="1806" max="1806" width="29" style="53" customWidth="1"/>
    <col min="1807" max="1807" width="32" style="53" customWidth="1"/>
    <col min="1808" max="1808" width="28.140625" style="53" bestFit="1" customWidth="1"/>
    <col min="1809" max="1809" width="23" style="53" bestFit="1" customWidth="1"/>
    <col min="1810" max="1810" width="43.85546875" style="53" bestFit="1" customWidth="1"/>
    <col min="1811" max="1812" width="0" style="53" hidden="1" customWidth="1"/>
    <col min="1813" max="1813" width="25" style="53" bestFit="1" customWidth="1"/>
    <col min="1814" max="1814" width="26.42578125" style="53" customWidth="1"/>
    <col min="1815" max="1815" width="41.5703125" style="53" bestFit="1" customWidth="1"/>
    <col min="1816" max="1816" width="25" style="53" bestFit="1" customWidth="1"/>
    <col min="1817" max="1817" width="49.28515625" style="53" bestFit="1" customWidth="1"/>
    <col min="1818" max="1827" width="0" style="53" hidden="1" customWidth="1"/>
    <col min="1828" max="1828" width="33.28515625" style="53" bestFit="1" customWidth="1"/>
    <col min="1829" max="1830" width="23.85546875" style="53" customWidth="1"/>
    <col min="1831" max="1832" width="29.42578125" style="53" customWidth="1"/>
    <col min="1833" max="1833" width="33.85546875" style="53" customWidth="1"/>
    <col min="1834" max="1834" width="30.140625" style="53" customWidth="1"/>
    <col min="1835" max="1839" width="0" style="53" hidden="1" customWidth="1"/>
    <col min="1840" max="1840" width="33.28515625" style="53" customWidth="1"/>
    <col min="1841" max="1844" width="0" style="53" hidden="1" customWidth="1"/>
    <col min="1845" max="1845" width="31.42578125" style="53" customWidth="1"/>
    <col min="1846" max="1847" width="0" style="53" hidden="1" customWidth="1"/>
    <col min="1848" max="1848" width="29.42578125" style="53" customWidth="1"/>
    <col min="1849" max="1850" width="0" style="53" hidden="1" customWidth="1"/>
    <col min="1851" max="1851" width="30.7109375" style="53" customWidth="1"/>
    <col min="1852" max="2048" width="13" style="53"/>
    <col min="2049" max="2051" width="0" style="53" hidden="1" customWidth="1"/>
    <col min="2052" max="2052" width="13.7109375" style="53" customWidth="1"/>
    <col min="2053" max="2056" width="0" style="53" hidden="1" customWidth="1"/>
    <col min="2057" max="2057" width="46.5703125" style="53" customWidth="1"/>
    <col min="2058" max="2058" width="32.7109375" style="53" customWidth="1"/>
    <col min="2059" max="2059" width="32.85546875" style="53" customWidth="1"/>
    <col min="2060" max="2060" width="31.5703125" style="53" customWidth="1"/>
    <col min="2061" max="2061" width="32.140625" style="53" customWidth="1"/>
    <col min="2062" max="2062" width="29" style="53" customWidth="1"/>
    <col min="2063" max="2063" width="32" style="53" customWidth="1"/>
    <col min="2064" max="2064" width="28.140625" style="53" bestFit="1" customWidth="1"/>
    <col min="2065" max="2065" width="23" style="53" bestFit="1" customWidth="1"/>
    <col min="2066" max="2066" width="43.85546875" style="53" bestFit="1" customWidth="1"/>
    <col min="2067" max="2068" width="0" style="53" hidden="1" customWidth="1"/>
    <col min="2069" max="2069" width="25" style="53" bestFit="1" customWidth="1"/>
    <col min="2070" max="2070" width="26.42578125" style="53" customWidth="1"/>
    <col min="2071" max="2071" width="41.5703125" style="53" bestFit="1" customWidth="1"/>
    <col min="2072" max="2072" width="25" style="53" bestFit="1" customWidth="1"/>
    <col min="2073" max="2073" width="49.28515625" style="53" bestFit="1" customWidth="1"/>
    <col min="2074" max="2083" width="0" style="53" hidden="1" customWidth="1"/>
    <col min="2084" max="2084" width="33.28515625" style="53" bestFit="1" customWidth="1"/>
    <col min="2085" max="2086" width="23.85546875" style="53" customWidth="1"/>
    <col min="2087" max="2088" width="29.42578125" style="53" customWidth="1"/>
    <col min="2089" max="2089" width="33.85546875" style="53" customWidth="1"/>
    <col min="2090" max="2090" width="30.140625" style="53" customWidth="1"/>
    <col min="2091" max="2095" width="0" style="53" hidden="1" customWidth="1"/>
    <col min="2096" max="2096" width="33.28515625" style="53" customWidth="1"/>
    <col min="2097" max="2100" width="0" style="53" hidden="1" customWidth="1"/>
    <col min="2101" max="2101" width="31.42578125" style="53" customWidth="1"/>
    <col min="2102" max="2103" width="0" style="53" hidden="1" customWidth="1"/>
    <col min="2104" max="2104" width="29.42578125" style="53" customWidth="1"/>
    <col min="2105" max="2106" width="0" style="53" hidden="1" customWidth="1"/>
    <col min="2107" max="2107" width="30.7109375" style="53" customWidth="1"/>
    <col min="2108" max="2304" width="13" style="53"/>
    <col min="2305" max="2307" width="0" style="53" hidden="1" customWidth="1"/>
    <col min="2308" max="2308" width="13.7109375" style="53" customWidth="1"/>
    <col min="2309" max="2312" width="0" style="53" hidden="1" customWidth="1"/>
    <col min="2313" max="2313" width="46.5703125" style="53" customWidth="1"/>
    <col min="2314" max="2314" width="32.7109375" style="53" customWidth="1"/>
    <col min="2315" max="2315" width="32.85546875" style="53" customWidth="1"/>
    <col min="2316" max="2316" width="31.5703125" style="53" customWidth="1"/>
    <col min="2317" max="2317" width="32.140625" style="53" customWidth="1"/>
    <col min="2318" max="2318" width="29" style="53" customWidth="1"/>
    <col min="2319" max="2319" width="32" style="53" customWidth="1"/>
    <col min="2320" max="2320" width="28.140625" style="53" bestFit="1" customWidth="1"/>
    <col min="2321" max="2321" width="23" style="53" bestFit="1" customWidth="1"/>
    <col min="2322" max="2322" width="43.85546875" style="53" bestFit="1" customWidth="1"/>
    <col min="2323" max="2324" width="0" style="53" hidden="1" customWidth="1"/>
    <col min="2325" max="2325" width="25" style="53" bestFit="1" customWidth="1"/>
    <col min="2326" max="2326" width="26.42578125" style="53" customWidth="1"/>
    <col min="2327" max="2327" width="41.5703125" style="53" bestFit="1" customWidth="1"/>
    <col min="2328" max="2328" width="25" style="53" bestFit="1" customWidth="1"/>
    <col min="2329" max="2329" width="49.28515625" style="53" bestFit="1" customWidth="1"/>
    <col min="2330" max="2339" width="0" style="53" hidden="1" customWidth="1"/>
    <col min="2340" max="2340" width="33.28515625" style="53" bestFit="1" customWidth="1"/>
    <col min="2341" max="2342" width="23.85546875" style="53" customWidth="1"/>
    <col min="2343" max="2344" width="29.42578125" style="53" customWidth="1"/>
    <col min="2345" max="2345" width="33.85546875" style="53" customWidth="1"/>
    <col min="2346" max="2346" width="30.140625" style="53" customWidth="1"/>
    <col min="2347" max="2351" width="0" style="53" hidden="1" customWidth="1"/>
    <col min="2352" max="2352" width="33.28515625" style="53" customWidth="1"/>
    <col min="2353" max="2356" width="0" style="53" hidden="1" customWidth="1"/>
    <col min="2357" max="2357" width="31.42578125" style="53" customWidth="1"/>
    <col min="2358" max="2359" width="0" style="53" hidden="1" customWidth="1"/>
    <col min="2360" max="2360" width="29.42578125" style="53" customWidth="1"/>
    <col min="2361" max="2362" width="0" style="53" hidden="1" customWidth="1"/>
    <col min="2363" max="2363" width="30.7109375" style="53" customWidth="1"/>
    <col min="2364" max="2560" width="13" style="53"/>
    <col min="2561" max="2563" width="0" style="53" hidden="1" customWidth="1"/>
    <col min="2564" max="2564" width="13.7109375" style="53" customWidth="1"/>
    <col min="2565" max="2568" width="0" style="53" hidden="1" customWidth="1"/>
    <col min="2569" max="2569" width="46.5703125" style="53" customWidth="1"/>
    <col min="2570" max="2570" width="32.7109375" style="53" customWidth="1"/>
    <col min="2571" max="2571" width="32.85546875" style="53" customWidth="1"/>
    <col min="2572" max="2572" width="31.5703125" style="53" customWidth="1"/>
    <col min="2573" max="2573" width="32.140625" style="53" customWidth="1"/>
    <col min="2574" max="2574" width="29" style="53" customWidth="1"/>
    <col min="2575" max="2575" width="32" style="53" customWidth="1"/>
    <col min="2576" max="2576" width="28.140625" style="53" bestFit="1" customWidth="1"/>
    <col min="2577" max="2577" width="23" style="53" bestFit="1" customWidth="1"/>
    <col min="2578" max="2578" width="43.85546875" style="53" bestFit="1" customWidth="1"/>
    <col min="2579" max="2580" width="0" style="53" hidden="1" customWidth="1"/>
    <col min="2581" max="2581" width="25" style="53" bestFit="1" customWidth="1"/>
    <col min="2582" max="2582" width="26.42578125" style="53" customWidth="1"/>
    <col min="2583" max="2583" width="41.5703125" style="53" bestFit="1" customWidth="1"/>
    <col min="2584" max="2584" width="25" style="53" bestFit="1" customWidth="1"/>
    <col min="2585" max="2585" width="49.28515625" style="53" bestFit="1" customWidth="1"/>
    <col min="2586" max="2595" width="0" style="53" hidden="1" customWidth="1"/>
    <col min="2596" max="2596" width="33.28515625" style="53" bestFit="1" customWidth="1"/>
    <col min="2597" max="2598" width="23.85546875" style="53" customWidth="1"/>
    <col min="2599" max="2600" width="29.42578125" style="53" customWidth="1"/>
    <col min="2601" max="2601" width="33.85546875" style="53" customWidth="1"/>
    <col min="2602" max="2602" width="30.140625" style="53" customWidth="1"/>
    <col min="2603" max="2607" width="0" style="53" hidden="1" customWidth="1"/>
    <col min="2608" max="2608" width="33.28515625" style="53" customWidth="1"/>
    <col min="2609" max="2612" width="0" style="53" hidden="1" customWidth="1"/>
    <col min="2613" max="2613" width="31.42578125" style="53" customWidth="1"/>
    <col min="2614" max="2615" width="0" style="53" hidden="1" customWidth="1"/>
    <col min="2616" max="2616" width="29.42578125" style="53" customWidth="1"/>
    <col min="2617" max="2618" width="0" style="53" hidden="1" customWidth="1"/>
    <col min="2619" max="2619" width="30.7109375" style="53" customWidth="1"/>
    <col min="2620" max="2816" width="13" style="53"/>
    <col min="2817" max="2819" width="0" style="53" hidden="1" customWidth="1"/>
    <col min="2820" max="2820" width="13.7109375" style="53" customWidth="1"/>
    <col min="2821" max="2824" width="0" style="53" hidden="1" customWidth="1"/>
    <col min="2825" max="2825" width="46.5703125" style="53" customWidth="1"/>
    <col min="2826" max="2826" width="32.7109375" style="53" customWidth="1"/>
    <col min="2827" max="2827" width="32.85546875" style="53" customWidth="1"/>
    <col min="2828" max="2828" width="31.5703125" style="53" customWidth="1"/>
    <col min="2829" max="2829" width="32.140625" style="53" customWidth="1"/>
    <col min="2830" max="2830" width="29" style="53" customWidth="1"/>
    <col min="2831" max="2831" width="32" style="53" customWidth="1"/>
    <col min="2832" max="2832" width="28.140625" style="53" bestFit="1" customWidth="1"/>
    <col min="2833" max="2833" width="23" style="53" bestFit="1" customWidth="1"/>
    <col min="2834" max="2834" width="43.85546875" style="53" bestFit="1" customWidth="1"/>
    <col min="2835" max="2836" width="0" style="53" hidden="1" customWidth="1"/>
    <col min="2837" max="2837" width="25" style="53" bestFit="1" customWidth="1"/>
    <col min="2838" max="2838" width="26.42578125" style="53" customWidth="1"/>
    <col min="2839" max="2839" width="41.5703125" style="53" bestFit="1" customWidth="1"/>
    <col min="2840" max="2840" width="25" style="53" bestFit="1" customWidth="1"/>
    <col min="2841" max="2841" width="49.28515625" style="53" bestFit="1" customWidth="1"/>
    <col min="2842" max="2851" width="0" style="53" hidden="1" customWidth="1"/>
    <col min="2852" max="2852" width="33.28515625" style="53" bestFit="1" customWidth="1"/>
    <col min="2853" max="2854" width="23.85546875" style="53" customWidth="1"/>
    <col min="2855" max="2856" width="29.42578125" style="53" customWidth="1"/>
    <col min="2857" max="2857" width="33.85546875" style="53" customWidth="1"/>
    <col min="2858" max="2858" width="30.140625" style="53" customWidth="1"/>
    <col min="2859" max="2863" width="0" style="53" hidden="1" customWidth="1"/>
    <col min="2864" max="2864" width="33.28515625" style="53" customWidth="1"/>
    <col min="2865" max="2868" width="0" style="53" hidden="1" customWidth="1"/>
    <col min="2869" max="2869" width="31.42578125" style="53" customWidth="1"/>
    <col min="2870" max="2871" width="0" style="53" hidden="1" customWidth="1"/>
    <col min="2872" max="2872" width="29.42578125" style="53" customWidth="1"/>
    <col min="2873" max="2874" width="0" style="53" hidden="1" customWidth="1"/>
    <col min="2875" max="2875" width="30.7109375" style="53" customWidth="1"/>
    <col min="2876" max="3072" width="13" style="53"/>
    <col min="3073" max="3075" width="0" style="53" hidden="1" customWidth="1"/>
    <col min="3076" max="3076" width="13.7109375" style="53" customWidth="1"/>
    <col min="3077" max="3080" width="0" style="53" hidden="1" customWidth="1"/>
    <col min="3081" max="3081" width="46.5703125" style="53" customWidth="1"/>
    <col min="3082" max="3082" width="32.7109375" style="53" customWidth="1"/>
    <col min="3083" max="3083" width="32.85546875" style="53" customWidth="1"/>
    <col min="3084" max="3084" width="31.5703125" style="53" customWidth="1"/>
    <col min="3085" max="3085" width="32.140625" style="53" customWidth="1"/>
    <col min="3086" max="3086" width="29" style="53" customWidth="1"/>
    <col min="3087" max="3087" width="32" style="53" customWidth="1"/>
    <col min="3088" max="3088" width="28.140625" style="53" bestFit="1" customWidth="1"/>
    <col min="3089" max="3089" width="23" style="53" bestFit="1" customWidth="1"/>
    <col min="3090" max="3090" width="43.85546875" style="53" bestFit="1" customWidth="1"/>
    <col min="3091" max="3092" width="0" style="53" hidden="1" customWidth="1"/>
    <col min="3093" max="3093" width="25" style="53" bestFit="1" customWidth="1"/>
    <col min="3094" max="3094" width="26.42578125" style="53" customWidth="1"/>
    <col min="3095" max="3095" width="41.5703125" style="53" bestFit="1" customWidth="1"/>
    <col min="3096" max="3096" width="25" style="53" bestFit="1" customWidth="1"/>
    <col min="3097" max="3097" width="49.28515625" style="53" bestFit="1" customWidth="1"/>
    <col min="3098" max="3107" width="0" style="53" hidden="1" customWidth="1"/>
    <col min="3108" max="3108" width="33.28515625" style="53" bestFit="1" customWidth="1"/>
    <col min="3109" max="3110" width="23.85546875" style="53" customWidth="1"/>
    <col min="3111" max="3112" width="29.42578125" style="53" customWidth="1"/>
    <col min="3113" max="3113" width="33.85546875" style="53" customWidth="1"/>
    <col min="3114" max="3114" width="30.140625" style="53" customWidth="1"/>
    <col min="3115" max="3119" width="0" style="53" hidden="1" customWidth="1"/>
    <col min="3120" max="3120" width="33.28515625" style="53" customWidth="1"/>
    <col min="3121" max="3124" width="0" style="53" hidden="1" customWidth="1"/>
    <col min="3125" max="3125" width="31.42578125" style="53" customWidth="1"/>
    <col min="3126" max="3127" width="0" style="53" hidden="1" customWidth="1"/>
    <col min="3128" max="3128" width="29.42578125" style="53" customWidth="1"/>
    <col min="3129" max="3130" width="0" style="53" hidden="1" customWidth="1"/>
    <col min="3131" max="3131" width="30.7109375" style="53" customWidth="1"/>
    <col min="3132" max="3328" width="13" style="53"/>
    <col min="3329" max="3331" width="0" style="53" hidden="1" customWidth="1"/>
    <col min="3332" max="3332" width="13.7109375" style="53" customWidth="1"/>
    <col min="3333" max="3336" width="0" style="53" hidden="1" customWidth="1"/>
    <col min="3337" max="3337" width="46.5703125" style="53" customWidth="1"/>
    <col min="3338" max="3338" width="32.7109375" style="53" customWidth="1"/>
    <col min="3339" max="3339" width="32.85546875" style="53" customWidth="1"/>
    <col min="3340" max="3340" width="31.5703125" style="53" customWidth="1"/>
    <col min="3341" max="3341" width="32.140625" style="53" customWidth="1"/>
    <col min="3342" max="3342" width="29" style="53" customWidth="1"/>
    <col min="3343" max="3343" width="32" style="53" customWidth="1"/>
    <col min="3344" max="3344" width="28.140625" style="53" bestFit="1" customWidth="1"/>
    <col min="3345" max="3345" width="23" style="53" bestFit="1" customWidth="1"/>
    <col min="3346" max="3346" width="43.85546875" style="53" bestFit="1" customWidth="1"/>
    <col min="3347" max="3348" width="0" style="53" hidden="1" customWidth="1"/>
    <col min="3349" max="3349" width="25" style="53" bestFit="1" customWidth="1"/>
    <col min="3350" max="3350" width="26.42578125" style="53" customWidth="1"/>
    <col min="3351" max="3351" width="41.5703125" style="53" bestFit="1" customWidth="1"/>
    <col min="3352" max="3352" width="25" style="53" bestFit="1" customWidth="1"/>
    <col min="3353" max="3353" width="49.28515625" style="53" bestFit="1" customWidth="1"/>
    <col min="3354" max="3363" width="0" style="53" hidden="1" customWidth="1"/>
    <col min="3364" max="3364" width="33.28515625" style="53" bestFit="1" customWidth="1"/>
    <col min="3365" max="3366" width="23.85546875" style="53" customWidth="1"/>
    <col min="3367" max="3368" width="29.42578125" style="53" customWidth="1"/>
    <col min="3369" max="3369" width="33.85546875" style="53" customWidth="1"/>
    <col min="3370" max="3370" width="30.140625" style="53" customWidth="1"/>
    <col min="3371" max="3375" width="0" style="53" hidden="1" customWidth="1"/>
    <col min="3376" max="3376" width="33.28515625" style="53" customWidth="1"/>
    <col min="3377" max="3380" width="0" style="53" hidden="1" customWidth="1"/>
    <col min="3381" max="3381" width="31.42578125" style="53" customWidth="1"/>
    <col min="3382" max="3383" width="0" style="53" hidden="1" customWidth="1"/>
    <col min="3384" max="3384" width="29.42578125" style="53" customWidth="1"/>
    <col min="3385" max="3386" width="0" style="53" hidden="1" customWidth="1"/>
    <col min="3387" max="3387" width="30.7109375" style="53" customWidth="1"/>
    <col min="3388" max="3584" width="13" style="53"/>
    <col min="3585" max="3587" width="0" style="53" hidden="1" customWidth="1"/>
    <col min="3588" max="3588" width="13.7109375" style="53" customWidth="1"/>
    <col min="3589" max="3592" width="0" style="53" hidden="1" customWidth="1"/>
    <col min="3593" max="3593" width="46.5703125" style="53" customWidth="1"/>
    <col min="3594" max="3594" width="32.7109375" style="53" customWidth="1"/>
    <col min="3595" max="3595" width="32.85546875" style="53" customWidth="1"/>
    <col min="3596" max="3596" width="31.5703125" style="53" customWidth="1"/>
    <col min="3597" max="3597" width="32.140625" style="53" customWidth="1"/>
    <col min="3598" max="3598" width="29" style="53" customWidth="1"/>
    <col min="3599" max="3599" width="32" style="53" customWidth="1"/>
    <col min="3600" max="3600" width="28.140625" style="53" bestFit="1" customWidth="1"/>
    <col min="3601" max="3601" width="23" style="53" bestFit="1" customWidth="1"/>
    <col min="3602" max="3602" width="43.85546875" style="53" bestFit="1" customWidth="1"/>
    <col min="3603" max="3604" width="0" style="53" hidden="1" customWidth="1"/>
    <col min="3605" max="3605" width="25" style="53" bestFit="1" customWidth="1"/>
    <col min="3606" max="3606" width="26.42578125" style="53" customWidth="1"/>
    <col min="3607" max="3607" width="41.5703125" style="53" bestFit="1" customWidth="1"/>
    <col min="3608" max="3608" width="25" style="53" bestFit="1" customWidth="1"/>
    <col min="3609" max="3609" width="49.28515625" style="53" bestFit="1" customWidth="1"/>
    <col min="3610" max="3619" width="0" style="53" hidden="1" customWidth="1"/>
    <col min="3620" max="3620" width="33.28515625" style="53" bestFit="1" customWidth="1"/>
    <col min="3621" max="3622" width="23.85546875" style="53" customWidth="1"/>
    <col min="3623" max="3624" width="29.42578125" style="53" customWidth="1"/>
    <col min="3625" max="3625" width="33.85546875" style="53" customWidth="1"/>
    <col min="3626" max="3626" width="30.140625" style="53" customWidth="1"/>
    <col min="3627" max="3631" width="0" style="53" hidden="1" customWidth="1"/>
    <col min="3632" max="3632" width="33.28515625" style="53" customWidth="1"/>
    <col min="3633" max="3636" width="0" style="53" hidden="1" customWidth="1"/>
    <col min="3637" max="3637" width="31.42578125" style="53" customWidth="1"/>
    <col min="3638" max="3639" width="0" style="53" hidden="1" customWidth="1"/>
    <col min="3640" max="3640" width="29.42578125" style="53" customWidth="1"/>
    <col min="3641" max="3642" width="0" style="53" hidden="1" customWidth="1"/>
    <col min="3643" max="3643" width="30.7109375" style="53" customWidth="1"/>
    <col min="3644" max="3840" width="13" style="53"/>
    <col min="3841" max="3843" width="0" style="53" hidden="1" customWidth="1"/>
    <col min="3844" max="3844" width="13.7109375" style="53" customWidth="1"/>
    <col min="3845" max="3848" width="0" style="53" hidden="1" customWidth="1"/>
    <col min="3849" max="3849" width="46.5703125" style="53" customWidth="1"/>
    <col min="3850" max="3850" width="32.7109375" style="53" customWidth="1"/>
    <col min="3851" max="3851" width="32.85546875" style="53" customWidth="1"/>
    <col min="3852" max="3852" width="31.5703125" style="53" customWidth="1"/>
    <col min="3853" max="3853" width="32.140625" style="53" customWidth="1"/>
    <col min="3854" max="3854" width="29" style="53" customWidth="1"/>
    <col min="3855" max="3855" width="32" style="53" customWidth="1"/>
    <col min="3856" max="3856" width="28.140625" style="53" bestFit="1" customWidth="1"/>
    <col min="3857" max="3857" width="23" style="53" bestFit="1" customWidth="1"/>
    <col min="3858" max="3858" width="43.85546875" style="53" bestFit="1" customWidth="1"/>
    <col min="3859" max="3860" width="0" style="53" hidden="1" customWidth="1"/>
    <col min="3861" max="3861" width="25" style="53" bestFit="1" customWidth="1"/>
    <col min="3862" max="3862" width="26.42578125" style="53" customWidth="1"/>
    <col min="3863" max="3863" width="41.5703125" style="53" bestFit="1" customWidth="1"/>
    <col min="3864" max="3864" width="25" style="53" bestFit="1" customWidth="1"/>
    <col min="3865" max="3865" width="49.28515625" style="53" bestFit="1" customWidth="1"/>
    <col min="3866" max="3875" width="0" style="53" hidden="1" customWidth="1"/>
    <col min="3876" max="3876" width="33.28515625" style="53" bestFit="1" customWidth="1"/>
    <col min="3877" max="3878" width="23.85546875" style="53" customWidth="1"/>
    <col min="3879" max="3880" width="29.42578125" style="53" customWidth="1"/>
    <col min="3881" max="3881" width="33.85546875" style="53" customWidth="1"/>
    <col min="3882" max="3882" width="30.140625" style="53" customWidth="1"/>
    <col min="3883" max="3887" width="0" style="53" hidden="1" customWidth="1"/>
    <col min="3888" max="3888" width="33.28515625" style="53" customWidth="1"/>
    <col min="3889" max="3892" width="0" style="53" hidden="1" customWidth="1"/>
    <col min="3893" max="3893" width="31.42578125" style="53" customWidth="1"/>
    <col min="3894" max="3895" width="0" style="53" hidden="1" customWidth="1"/>
    <col min="3896" max="3896" width="29.42578125" style="53" customWidth="1"/>
    <col min="3897" max="3898" width="0" style="53" hidden="1" customWidth="1"/>
    <col min="3899" max="3899" width="30.7109375" style="53" customWidth="1"/>
    <col min="3900" max="4096" width="13" style="53"/>
    <col min="4097" max="4099" width="0" style="53" hidden="1" customWidth="1"/>
    <col min="4100" max="4100" width="13.7109375" style="53" customWidth="1"/>
    <col min="4101" max="4104" width="0" style="53" hidden="1" customWidth="1"/>
    <col min="4105" max="4105" width="46.5703125" style="53" customWidth="1"/>
    <col min="4106" max="4106" width="32.7109375" style="53" customWidth="1"/>
    <col min="4107" max="4107" width="32.85546875" style="53" customWidth="1"/>
    <col min="4108" max="4108" width="31.5703125" style="53" customWidth="1"/>
    <col min="4109" max="4109" width="32.140625" style="53" customWidth="1"/>
    <col min="4110" max="4110" width="29" style="53" customWidth="1"/>
    <col min="4111" max="4111" width="32" style="53" customWidth="1"/>
    <col min="4112" max="4112" width="28.140625" style="53" bestFit="1" customWidth="1"/>
    <col min="4113" max="4113" width="23" style="53" bestFit="1" customWidth="1"/>
    <col min="4114" max="4114" width="43.85546875" style="53" bestFit="1" customWidth="1"/>
    <col min="4115" max="4116" width="0" style="53" hidden="1" customWidth="1"/>
    <col min="4117" max="4117" width="25" style="53" bestFit="1" customWidth="1"/>
    <col min="4118" max="4118" width="26.42578125" style="53" customWidth="1"/>
    <col min="4119" max="4119" width="41.5703125" style="53" bestFit="1" customWidth="1"/>
    <col min="4120" max="4120" width="25" style="53" bestFit="1" customWidth="1"/>
    <col min="4121" max="4121" width="49.28515625" style="53" bestFit="1" customWidth="1"/>
    <col min="4122" max="4131" width="0" style="53" hidden="1" customWidth="1"/>
    <col min="4132" max="4132" width="33.28515625" style="53" bestFit="1" customWidth="1"/>
    <col min="4133" max="4134" width="23.85546875" style="53" customWidth="1"/>
    <col min="4135" max="4136" width="29.42578125" style="53" customWidth="1"/>
    <col min="4137" max="4137" width="33.85546875" style="53" customWidth="1"/>
    <col min="4138" max="4138" width="30.140625" style="53" customWidth="1"/>
    <col min="4139" max="4143" width="0" style="53" hidden="1" customWidth="1"/>
    <col min="4144" max="4144" width="33.28515625" style="53" customWidth="1"/>
    <col min="4145" max="4148" width="0" style="53" hidden="1" customWidth="1"/>
    <col min="4149" max="4149" width="31.42578125" style="53" customWidth="1"/>
    <col min="4150" max="4151" width="0" style="53" hidden="1" customWidth="1"/>
    <col min="4152" max="4152" width="29.42578125" style="53" customWidth="1"/>
    <col min="4153" max="4154" width="0" style="53" hidden="1" customWidth="1"/>
    <col min="4155" max="4155" width="30.7109375" style="53" customWidth="1"/>
    <col min="4156" max="4352" width="13" style="53"/>
    <col min="4353" max="4355" width="0" style="53" hidden="1" customWidth="1"/>
    <col min="4356" max="4356" width="13.7109375" style="53" customWidth="1"/>
    <col min="4357" max="4360" width="0" style="53" hidden="1" customWidth="1"/>
    <col min="4361" max="4361" width="46.5703125" style="53" customWidth="1"/>
    <col min="4362" max="4362" width="32.7109375" style="53" customWidth="1"/>
    <col min="4363" max="4363" width="32.85546875" style="53" customWidth="1"/>
    <col min="4364" max="4364" width="31.5703125" style="53" customWidth="1"/>
    <col min="4365" max="4365" width="32.140625" style="53" customWidth="1"/>
    <col min="4366" max="4366" width="29" style="53" customWidth="1"/>
    <col min="4367" max="4367" width="32" style="53" customWidth="1"/>
    <col min="4368" max="4368" width="28.140625" style="53" bestFit="1" customWidth="1"/>
    <col min="4369" max="4369" width="23" style="53" bestFit="1" customWidth="1"/>
    <col min="4370" max="4370" width="43.85546875" style="53" bestFit="1" customWidth="1"/>
    <col min="4371" max="4372" width="0" style="53" hidden="1" customWidth="1"/>
    <col min="4373" max="4373" width="25" style="53" bestFit="1" customWidth="1"/>
    <col min="4374" max="4374" width="26.42578125" style="53" customWidth="1"/>
    <col min="4375" max="4375" width="41.5703125" style="53" bestFit="1" customWidth="1"/>
    <col min="4376" max="4376" width="25" style="53" bestFit="1" customWidth="1"/>
    <col min="4377" max="4377" width="49.28515625" style="53" bestFit="1" customWidth="1"/>
    <col min="4378" max="4387" width="0" style="53" hidden="1" customWidth="1"/>
    <col min="4388" max="4388" width="33.28515625" style="53" bestFit="1" customWidth="1"/>
    <col min="4389" max="4390" width="23.85546875" style="53" customWidth="1"/>
    <col min="4391" max="4392" width="29.42578125" style="53" customWidth="1"/>
    <col min="4393" max="4393" width="33.85546875" style="53" customWidth="1"/>
    <col min="4394" max="4394" width="30.140625" style="53" customWidth="1"/>
    <col min="4395" max="4399" width="0" style="53" hidden="1" customWidth="1"/>
    <col min="4400" max="4400" width="33.28515625" style="53" customWidth="1"/>
    <col min="4401" max="4404" width="0" style="53" hidden="1" customWidth="1"/>
    <col min="4405" max="4405" width="31.42578125" style="53" customWidth="1"/>
    <col min="4406" max="4407" width="0" style="53" hidden="1" customWidth="1"/>
    <col min="4408" max="4408" width="29.42578125" style="53" customWidth="1"/>
    <col min="4409" max="4410" width="0" style="53" hidden="1" customWidth="1"/>
    <col min="4411" max="4411" width="30.7109375" style="53" customWidth="1"/>
    <col min="4412" max="4608" width="13" style="53"/>
    <col min="4609" max="4611" width="0" style="53" hidden="1" customWidth="1"/>
    <col min="4612" max="4612" width="13.7109375" style="53" customWidth="1"/>
    <col min="4613" max="4616" width="0" style="53" hidden="1" customWidth="1"/>
    <col min="4617" max="4617" width="46.5703125" style="53" customWidth="1"/>
    <col min="4618" max="4618" width="32.7109375" style="53" customWidth="1"/>
    <col min="4619" max="4619" width="32.85546875" style="53" customWidth="1"/>
    <col min="4620" max="4620" width="31.5703125" style="53" customWidth="1"/>
    <col min="4621" max="4621" width="32.140625" style="53" customWidth="1"/>
    <col min="4622" max="4622" width="29" style="53" customWidth="1"/>
    <col min="4623" max="4623" width="32" style="53" customWidth="1"/>
    <col min="4624" max="4624" width="28.140625" style="53" bestFit="1" customWidth="1"/>
    <col min="4625" max="4625" width="23" style="53" bestFit="1" customWidth="1"/>
    <col min="4626" max="4626" width="43.85546875" style="53" bestFit="1" customWidth="1"/>
    <col min="4627" max="4628" width="0" style="53" hidden="1" customWidth="1"/>
    <col min="4629" max="4629" width="25" style="53" bestFit="1" customWidth="1"/>
    <col min="4630" max="4630" width="26.42578125" style="53" customWidth="1"/>
    <col min="4631" max="4631" width="41.5703125" style="53" bestFit="1" customWidth="1"/>
    <col min="4632" max="4632" width="25" style="53" bestFit="1" customWidth="1"/>
    <col min="4633" max="4633" width="49.28515625" style="53" bestFit="1" customWidth="1"/>
    <col min="4634" max="4643" width="0" style="53" hidden="1" customWidth="1"/>
    <col min="4644" max="4644" width="33.28515625" style="53" bestFit="1" customWidth="1"/>
    <col min="4645" max="4646" width="23.85546875" style="53" customWidth="1"/>
    <col min="4647" max="4648" width="29.42578125" style="53" customWidth="1"/>
    <col min="4649" max="4649" width="33.85546875" style="53" customWidth="1"/>
    <col min="4650" max="4650" width="30.140625" style="53" customWidth="1"/>
    <col min="4651" max="4655" width="0" style="53" hidden="1" customWidth="1"/>
    <col min="4656" max="4656" width="33.28515625" style="53" customWidth="1"/>
    <col min="4657" max="4660" width="0" style="53" hidden="1" customWidth="1"/>
    <col min="4661" max="4661" width="31.42578125" style="53" customWidth="1"/>
    <col min="4662" max="4663" width="0" style="53" hidden="1" customWidth="1"/>
    <col min="4664" max="4664" width="29.42578125" style="53" customWidth="1"/>
    <col min="4665" max="4666" width="0" style="53" hidden="1" customWidth="1"/>
    <col min="4667" max="4667" width="30.7109375" style="53" customWidth="1"/>
    <col min="4668" max="4864" width="13" style="53"/>
    <col min="4865" max="4867" width="0" style="53" hidden="1" customWidth="1"/>
    <col min="4868" max="4868" width="13.7109375" style="53" customWidth="1"/>
    <col min="4869" max="4872" width="0" style="53" hidden="1" customWidth="1"/>
    <col min="4873" max="4873" width="46.5703125" style="53" customWidth="1"/>
    <col min="4874" max="4874" width="32.7109375" style="53" customWidth="1"/>
    <col min="4875" max="4875" width="32.85546875" style="53" customWidth="1"/>
    <col min="4876" max="4876" width="31.5703125" style="53" customWidth="1"/>
    <col min="4877" max="4877" width="32.140625" style="53" customWidth="1"/>
    <col min="4878" max="4878" width="29" style="53" customWidth="1"/>
    <col min="4879" max="4879" width="32" style="53" customWidth="1"/>
    <col min="4880" max="4880" width="28.140625" style="53" bestFit="1" customWidth="1"/>
    <col min="4881" max="4881" width="23" style="53" bestFit="1" customWidth="1"/>
    <col min="4882" max="4882" width="43.85546875" style="53" bestFit="1" customWidth="1"/>
    <col min="4883" max="4884" width="0" style="53" hidden="1" customWidth="1"/>
    <col min="4885" max="4885" width="25" style="53" bestFit="1" customWidth="1"/>
    <col min="4886" max="4886" width="26.42578125" style="53" customWidth="1"/>
    <col min="4887" max="4887" width="41.5703125" style="53" bestFit="1" customWidth="1"/>
    <col min="4888" max="4888" width="25" style="53" bestFit="1" customWidth="1"/>
    <col min="4889" max="4889" width="49.28515625" style="53" bestFit="1" customWidth="1"/>
    <col min="4890" max="4899" width="0" style="53" hidden="1" customWidth="1"/>
    <col min="4900" max="4900" width="33.28515625" style="53" bestFit="1" customWidth="1"/>
    <col min="4901" max="4902" width="23.85546875" style="53" customWidth="1"/>
    <col min="4903" max="4904" width="29.42578125" style="53" customWidth="1"/>
    <col min="4905" max="4905" width="33.85546875" style="53" customWidth="1"/>
    <col min="4906" max="4906" width="30.140625" style="53" customWidth="1"/>
    <col min="4907" max="4911" width="0" style="53" hidden="1" customWidth="1"/>
    <col min="4912" max="4912" width="33.28515625" style="53" customWidth="1"/>
    <col min="4913" max="4916" width="0" style="53" hidden="1" customWidth="1"/>
    <col min="4917" max="4917" width="31.42578125" style="53" customWidth="1"/>
    <col min="4918" max="4919" width="0" style="53" hidden="1" customWidth="1"/>
    <col min="4920" max="4920" width="29.42578125" style="53" customWidth="1"/>
    <col min="4921" max="4922" width="0" style="53" hidden="1" customWidth="1"/>
    <col min="4923" max="4923" width="30.7109375" style="53" customWidth="1"/>
    <col min="4924" max="5120" width="13" style="53"/>
    <col min="5121" max="5123" width="0" style="53" hidden="1" customWidth="1"/>
    <col min="5124" max="5124" width="13.7109375" style="53" customWidth="1"/>
    <col min="5125" max="5128" width="0" style="53" hidden="1" customWidth="1"/>
    <col min="5129" max="5129" width="46.5703125" style="53" customWidth="1"/>
    <col min="5130" max="5130" width="32.7109375" style="53" customWidth="1"/>
    <col min="5131" max="5131" width="32.85546875" style="53" customWidth="1"/>
    <col min="5132" max="5132" width="31.5703125" style="53" customWidth="1"/>
    <col min="5133" max="5133" width="32.140625" style="53" customWidth="1"/>
    <col min="5134" max="5134" width="29" style="53" customWidth="1"/>
    <col min="5135" max="5135" width="32" style="53" customWidth="1"/>
    <col min="5136" max="5136" width="28.140625" style="53" bestFit="1" customWidth="1"/>
    <col min="5137" max="5137" width="23" style="53" bestFit="1" customWidth="1"/>
    <col min="5138" max="5138" width="43.85546875" style="53" bestFit="1" customWidth="1"/>
    <col min="5139" max="5140" width="0" style="53" hidden="1" customWidth="1"/>
    <col min="5141" max="5141" width="25" style="53" bestFit="1" customWidth="1"/>
    <col min="5142" max="5142" width="26.42578125" style="53" customWidth="1"/>
    <col min="5143" max="5143" width="41.5703125" style="53" bestFit="1" customWidth="1"/>
    <col min="5144" max="5144" width="25" style="53" bestFit="1" customWidth="1"/>
    <col min="5145" max="5145" width="49.28515625" style="53" bestFit="1" customWidth="1"/>
    <col min="5146" max="5155" width="0" style="53" hidden="1" customWidth="1"/>
    <col min="5156" max="5156" width="33.28515625" style="53" bestFit="1" customWidth="1"/>
    <col min="5157" max="5158" width="23.85546875" style="53" customWidth="1"/>
    <col min="5159" max="5160" width="29.42578125" style="53" customWidth="1"/>
    <col min="5161" max="5161" width="33.85546875" style="53" customWidth="1"/>
    <col min="5162" max="5162" width="30.140625" style="53" customWidth="1"/>
    <col min="5163" max="5167" width="0" style="53" hidden="1" customWidth="1"/>
    <col min="5168" max="5168" width="33.28515625" style="53" customWidth="1"/>
    <col min="5169" max="5172" width="0" style="53" hidden="1" customWidth="1"/>
    <col min="5173" max="5173" width="31.42578125" style="53" customWidth="1"/>
    <col min="5174" max="5175" width="0" style="53" hidden="1" customWidth="1"/>
    <col min="5176" max="5176" width="29.42578125" style="53" customWidth="1"/>
    <col min="5177" max="5178" width="0" style="53" hidden="1" customWidth="1"/>
    <col min="5179" max="5179" width="30.7109375" style="53" customWidth="1"/>
    <col min="5180" max="5376" width="13" style="53"/>
    <col min="5377" max="5379" width="0" style="53" hidden="1" customWidth="1"/>
    <col min="5380" max="5380" width="13.7109375" style="53" customWidth="1"/>
    <col min="5381" max="5384" width="0" style="53" hidden="1" customWidth="1"/>
    <col min="5385" max="5385" width="46.5703125" style="53" customWidth="1"/>
    <col min="5386" max="5386" width="32.7109375" style="53" customWidth="1"/>
    <col min="5387" max="5387" width="32.85546875" style="53" customWidth="1"/>
    <col min="5388" max="5388" width="31.5703125" style="53" customWidth="1"/>
    <col min="5389" max="5389" width="32.140625" style="53" customWidth="1"/>
    <col min="5390" max="5390" width="29" style="53" customWidth="1"/>
    <col min="5391" max="5391" width="32" style="53" customWidth="1"/>
    <col min="5392" max="5392" width="28.140625" style="53" bestFit="1" customWidth="1"/>
    <col min="5393" max="5393" width="23" style="53" bestFit="1" customWidth="1"/>
    <col min="5394" max="5394" width="43.85546875" style="53" bestFit="1" customWidth="1"/>
    <col min="5395" max="5396" width="0" style="53" hidden="1" customWidth="1"/>
    <col min="5397" max="5397" width="25" style="53" bestFit="1" customWidth="1"/>
    <col min="5398" max="5398" width="26.42578125" style="53" customWidth="1"/>
    <col min="5399" max="5399" width="41.5703125" style="53" bestFit="1" customWidth="1"/>
    <col min="5400" max="5400" width="25" style="53" bestFit="1" customWidth="1"/>
    <col min="5401" max="5401" width="49.28515625" style="53" bestFit="1" customWidth="1"/>
    <col min="5402" max="5411" width="0" style="53" hidden="1" customWidth="1"/>
    <col min="5412" max="5412" width="33.28515625" style="53" bestFit="1" customWidth="1"/>
    <col min="5413" max="5414" width="23.85546875" style="53" customWidth="1"/>
    <col min="5415" max="5416" width="29.42578125" style="53" customWidth="1"/>
    <col min="5417" max="5417" width="33.85546875" style="53" customWidth="1"/>
    <col min="5418" max="5418" width="30.140625" style="53" customWidth="1"/>
    <col min="5419" max="5423" width="0" style="53" hidden="1" customWidth="1"/>
    <col min="5424" max="5424" width="33.28515625" style="53" customWidth="1"/>
    <col min="5425" max="5428" width="0" style="53" hidden="1" customWidth="1"/>
    <col min="5429" max="5429" width="31.42578125" style="53" customWidth="1"/>
    <col min="5430" max="5431" width="0" style="53" hidden="1" customWidth="1"/>
    <col min="5432" max="5432" width="29.42578125" style="53" customWidth="1"/>
    <col min="5433" max="5434" width="0" style="53" hidden="1" customWidth="1"/>
    <col min="5435" max="5435" width="30.7109375" style="53" customWidth="1"/>
    <col min="5436" max="5632" width="13" style="53"/>
    <col min="5633" max="5635" width="0" style="53" hidden="1" customWidth="1"/>
    <col min="5636" max="5636" width="13.7109375" style="53" customWidth="1"/>
    <col min="5637" max="5640" width="0" style="53" hidden="1" customWidth="1"/>
    <col min="5641" max="5641" width="46.5703125" style="53" customWidth="1"/>
    <col min="5642" max="5642" width="32.7109375" style="53" customWidth="1"/>
    <col min="5643" max="5643" width="32.85546875" style="53" customWidth="1"/>
    <col min="5644" max="5644" width="31.5703125" style="53" customWidth="1"/>
    <col min="5645" max="5645" width="32.140625" style="53" customWidth="1"/>
    <col min="5646" max="5646" width="29" style="53" customWidth="1"/>
    <col min="5647" max="5647" width="32" style="53" customWidth="1"/>
    <col min="5648" max="5648" width="28.140625" style="53" bestFit="1" customWidth="1"/>
    <col min="5649" max="5649" width="23" style="53" bestFit="1" customWidth="1"/>
    <col min="5650" max="5650" width="43.85546875" style="53" bestFit="1" customWidth="1"/>
    <col min="5651" max="5652" width="0" style="53" hidden="1" customWidth="1"/>
    <col min="5653" max="5653" width="25" style="53" bestFit="1" customWidth="1"/>
    <col min="5654" max="5654" width="26.42578125" style="53" customWidth="1"/>
    <col min="5655" max="5655" width="41.5703125" style="53" bestFit="1" customWidth="1"/>
    <col min="5656" max="5656" width="25" style="53" bestFit="1" customWidth="1"/>
    <col min="5657" max="5657" width="49.28515625" style="53" bestFit="1" customWidth="1"/>
    <col min="5658" max="5667" width="0" style="53" hidden="1" customWidth="1"/>
    <col min="5668" max="5668" width="33.28515625" style="53" bestFit="1" customWidth="1"/>
    <col min="5669" max="5670" width="23.85546875" style="53" customWidth="1"/>
    <col min="5671" max="5672" width="29.42578125" style="53" customWidth="1"/>
    <col min="5673" max="5673" width="33.85546875" style="53" customWidth="1"/>
    <col min="5674" max="5674" width="30.140625" style="53" customWidth="1"/>
    <col min="5675" max="5679" width="0" style="53" hidden="1" customWidth="1"/>
    <col min="5680" max="5680" width="33.28515625" style="53" customWidth="1"/>
    <col min="5681" max="5684" width="0" style="53" hidden="1" customWidth="1"/>
    <col min="5685" max="5685" width="31.42578125" style="53" customWidth="1"/>
    <col min="5686" max="5687" width="0" style="53" hidden="1" customWidth="1"/>
    <col min="5688" max="5688" width="29.42578125" style="53" customWidth="1"/>
    <col min="5689" max="5690" width="0" style="53" hidden="1" customWidth="1"/>
    <col min="5691" max="5691" width="30.7109375" style="53" customWidth="1"/>
    <col min="5692" max="5888" width="13" style="53"/>
    <col min="5889" max="5891" width="0" style="53" hidden="1" customWidth="1"/>
    <col min="5892" max="5892" width="13.7109375" style="53" customWidth="1"/>
    <col min="5893" max="5896" width="0" style="53" hidden="1" customWidth="1"/>
    <col min="5897" max="5897" width="46.5703125" style="53" customWidth="1"/>
    <col min="5898" max="5898" width="32.7109375" style="53" customWidth="1"/>
    <col min="5899" max="5899" width="32.85546875" style="53" customWidth="1"/>
    <col min="5900" max="5900" width="31.5703125" style="53" customWidth="1"/>
    <col min="5901" max="5901" width="32.140625" style="53" customWidth="1"/>
    <col min="5902" max="5902" width="29" style="53" customWidth="1"/>
    <col min="5903" max="5903" width="32" style="53" customWidth="1"/>
    <col min="5904" max="5904" width="28.140625" style="53" bestFit="1" customWidth="1"/>
    <col min="5905" max="5905" width="23" style="53" bestFit="1" customWidth="1"/>
    <col min="5906" max="5906" width="43.85546875" style="53" bestFit="1" customWidth="1"/>
    <col min="5907" max="5908" width="0" style="53" hidden="1" customWidth="1"/>
    <col min="5909" max="5909" width="25" style="53" bestFit="1" customWidth="1"/>
    <col min="5910" max="5910" width="26.42578125" style="53" customWidth="1"/>
    <col min="5911" max="5911" width="41.5703125" style="53" bestFit="1" customWidth="1"/>
    <col min="5912" max="5912" width="25" style="53" bestFit="1" customWidth="1"/>
    <col min="5913" max="5913" width="49.28515625" style="53" bestFit="1" customWidth="1"/>
    <col min="5914" max="5923" width="0" style="53" hidden="1" customWidth="1"/>
    <col min="5924" max="5924" width="33.28515625" style="53" bestFit="1" customWidth="1"/>
    <col min="5925" max="5926" width="23.85546875" style="53" customWidth="1"/>
    <col min="5927" max="5928" width="29.42578125" style="53" customWidth="1"/>
    <col min="5929" max="5929" width="33.85546875" style="53" customWidth="1"/>
    <col min="5930" max="5930" width="30.140625" style="53" customWidth="1"/>
    <col min="5931" max="5935" width="0" style="53" hidden="1" customWidth="1"/>
    <col min="5936" max="5936" width="33.28515625" style="53" customWidth="1"/>
    <col min="5937" max="5940" width="0" style="53" hidden="1" customWidth="1"/>
    <col min="5941" max="5941" width="31.42578125" style="53" customWidth="1"/>
    <col min="5942" max="5943" width="0" style="53" hidden="1" customWidth="1"/>
    <col min="5944" max="5944" width="29.42578125" style="53" customWidth="1"/>
    <col min="5945" max="5946" width="0" style="53" hidden="1" customWidth="1"/>
    <col min="5947" max="5947" width="30.7109375" style="53" customWidth="1"/>
    <col min="5948" max="6144" width="13" style="53"/>
    <col min="6145" max="6147" width="0" style="53" hidden="1" customWidth="1"/>
    <col min="6148" max="6148" width="13.7109375" style="53" customWidth="1"/>
    <col min="6149" max="6152" width="0" style="53" hidden="1" customWidth="1"/>
    <col min="6153" max="6153" width="46.5703125" style="53" customWidth="1"/>
    <col min="6154" max="6154" width="32.7109375" style="53" customWidth="1"/>
    <col min="6155" max="6155" width="32.85546875" style="53" customWidth="1"/>
    <col min="6156" max="6156" width="31.5703125" style="53" customWidth="1"/>
    <col min="6157" max="6157" width="32.140625" style="53" customWidth="1"/>
    <col min="6158" max="6158" width="29" style="53" customWidth="1"/>
    <col min="6159" max="6159" width="32" style="53" customWidth="1"/>
    <col min="6160" max="6160" width="28.140625" style="53" bestFit="1" customWidth="1"/>
    <col min="6161" max="6161" width="23" style="53" bestFit="1" customWidth="1"/>
    <col min="6162" max="6162" width="43.85546875" style="53" bestFit="1" customWidth="1"/>
    <col min="6163" max="6164" width="0" style="53" hidden="1" customWidth="1"/>
    <col min="6165" max="6165" width="25" style="53" bestFit="1" customWidth="1"/>
    <col min="6166" max="6166" width="26.42578125" style="53" customWidth="1"/>
    <col min="6167" max="6167" width="41.5703125" style="53" bestFit="1" customWidth="1"/>
    <col min="6168" max="6168" width="25" style="53" bestFit="1" customWidth="1"/>
    <col min="6169" max="6169" width="49.28515625" style="53" bestFit="1" customWidth="1"/>
    <col min="6170" max="6179" width="0" style="53" hidden="1" customWidth="1"/>
    <col min="6180" max="6180" width="33.28515625" style="53" bestFit="1" customWidth="1"/>
    <col min="6181" max="6182" width="23.85546875" style="53" customWidth="1"/>
    <col min="6183" max="6184" width="29.42578125" style="53" customWidth="1"/>
    <col min="6185" max="6185" width="33.85546875" style="53" customWidth="1"/>
    <col min="6186" max="6186" width="30.140625" style="53" customWidth="1"/>
    <col min="6187" max="6191" width="0" style="53" hidden="1" customWidth="1"/>
    <col min="6192" max="6192" width="33.28515625" style="53" customWidth="1"/>
    <col min="6193" max="6196" width="0" style="53" hidden="1" customWidth="1"/>
    <col min="6197" max="6197" width="31.42578125" style="53" customWidth="1"/>
    <col min="6198" max="6199" width="0" style="53" hidden="1" customWidth="1"/>
    <col min="6200" max="6200" width="29.42578125" style="53" customWidth="1"/>
    <col min="6201" max="6202" width="0" style="53" hidden="1" customWidth="1"/>
    <col min="6203" max="6203" width="30.7109375" style="53" customWidth="1"/>
    <col min="6204" max="6400" width="13" style="53"/>
    <col min="6401" max="6403" width="0" style="53" hidden="1" customWidth="1"/>
    <col min="6404" max="6404" width="13.7109375" style="53" customWidth="1"/>
    <col min="6405" max="6408" width="0" style="53" hidden="1" customWidth="1"/>
    <col min="6409" max="6409" width="46.5703125" style="53" customWidth="1"/>
    <col min="6410" max="6410" width="32.7109375" style="53" customWidth="1"/>
    <col min="6411" max="6411" width="32.85546875" style="53" customWidth="1"/>
    <col min="6412" max="6412" width="31.5703125" style="53" customWidth="1"/>
    <col min="6413" max="6413" width="32.140625" style="53" customWidth="1"/>
    <col min="6414" max="6414" width="29" style="53" customWidth="1"/>
    <col min="6415" max="6415" width="32" style="53" customWidth="1"/>
    <col min="6416" max="6416" width="28.140625" style="53" bestFit="1" customWidth="1"/>
    <col min="6417" max="6417" width="23" style="53" bestFit="1" customWidth="1"/>
    <col min="6418" max="6418" width="43.85546875" style="53" bestFit="1" customWidth="1"/>
    <col min="6419" max="6420" width="0" style="53" hidden="1" customWidth="1"/>
    <col min="6421" max="6421" width="25" style="53" bestFit="1" customWidth="1"/>
    <col min="6422" max="6422" width="26.42578125" style="53" customWidth="1"/>
    <col min="6423" max="6423" width="41.5703125" style="53" bestFit="1" customWidth="1"/>
    <col min="6424" max="6424" width="25" style="53" bestFit="1" customWidth="1"/>
    <col min="6425" max="6425" width="49.28515625" style="53" bestFit="1" customWidth="1"/>
    <col min="6426" max="6435" width="0" style="53" hidden="1" customWidth="1"/>
    <col min="6436" max="6436" width="33.28515625" style="53" bestFit="1" customWidth="1"/>
    <col min="6437" max="6438" width="23.85546875" style="53" customWidth="1"/>
    <col min="6439" max="6440" width="29.42578125" style="53" customWidth="1"/>
    <col min="6441" max="6441" width="33.85546875" style="53" customWidth="1"/>
    <col min="6442" max="6442" width="30.140625" style="53" customWidth="1"/>
    <col min="6443" max="6447" width="0" style="53" hidden="1" customWidth="1"/>
    <col min="6448" max="6448" width="33.28515625" style="53" customWidth="1"/>
    <col min="6449" max="6452" width="0" style="53" hidden="1" customWidth="1"/>
    <col min="6453" max="6453" width="31.42578125" style="53" customWidth="1"/>
    <col min="6454" max="6455" width="0" style="53" hidden="1" customWidth="1"/>
    <col min="6456" max="6456" width="29.42578125" style="53" customWidth="1"/>
    <col min="6457" max="6458" width="0" style="53" hidden="1" customWidth="1"/>
    <col min="6459" max="6459" width="30.7109375" style="53" customWidth="1"/>
    <col min="6460" max="6656" width="13" style="53"/>
    <col min="6657" max="6659" width="0" style="53" hidden="1" customWidth="1"/>
    <col min="6660" max="6660" width="13.7109375" style="53" customWidth="1"/>
    <col min="6661" max="6664" width="0" style="53" hidden="1" customWidth="1"/>
    <col min="6665" max="6665" width="46.5703125" style="53" customWidth="1"/>
    <col min="6666" max="6666" width="32.7109375" style="53" customWidth="1"/>
    <col min="6667" max="6667" width="32.85546875" style="53" customWidth="1"/>
    <col min="6668" max="6668" width="31.5703125" style="53" customWidth="1"/>
    <col min="6669" max="6669" width="32.140625" style="53" customWidth="1"/>
    <col min="6670" max="6670" width="29" style="53" customWidth="1"/>
    <col min="6671" max="6671" width="32" style="53" customWidth="1"/>
    <col min="6672" max="6672" width="28.140625" style="53" bestFit="1" customWidth="1"/>
    <col min="6673" max="6673" width="23" style="53" bestFit="1" customWidth="1"/>
    <col min="6674" max="6674" width="43.85546875" style="53" bestFit="1" customWidth="1"/>
    <col min="6675" max="6676" width="0" style="53" hidden="1" customWidth="1"/>
    <col min="6677" max="6677" width="25" style="53" bestFit="1" customWidth="1"/>
    <col min="6678" max="6678" width="26.42578125" style="53" customWidth="1"/>
    <col min="6679" max="6679" width="41.5703125" style="53" bestFit="1" customWidth="1"/>
    <col min="6680" max="6680" width="25" style="53" bestFit="1" customWidth="1"/>
    <col min="6681" max="6681" width="49.28515625" style="53" bestFit="1" customWidth="1"/>
    <col min="6682" max="6691" width="0" style="53" hidden="1" customWidth="1"/>
    <col min="6692" max="6692" width="33.28515625" style="53" bestFit="1" customWidth="1"/>
    <col min="6693" max="6694" width="23.85546875" style="53" customWidth="1"/>
    <col min="6695" max="6696" width="29.42578125" style="53" customWidth="1"/>
    <col min="6697" max="6697" width="33.85546875" style="53" customWidth="1"/>
    <col min="6698" max="6698" width="30.140625" style="53" customWidth="1"/>
    <col min="6699" max="6703" width="0" style="53" hidden="1" customWidth="1"/>
    <col min="6704" max="6704" width="33.28515625" style="53" customWidth="1"/>
    <col min="6705" max="6708" width="0" style="53" hidden="1" customWidth="1"/>
    <col min="6709" max="6709" width="31.42578125" style="53" customWidth="1"/>
    <col min="6710" max="6711" width="0" style="53" hidden="1" customWidth="1"/>
    <col min="6712" max="6712" width="29.42578125" style="53" customWidth="1"/>
    <col min="6713" max="6714" width="0" style="53" hidden="1" customWidth="1"/>
    <col min="6715" max="6715" width="30.7109375" style="53" customWidth="1"/>
    <col min="6716" max="6912" width="13" style="53"/>
    <col min="6913" max="6915" width="0" style="53" hidden="1" customWidth="1"/>
    <col min="6916" max="6916" width="13.7109375" style="53" customWidth="1"/>
    <col min="6917" max="6920" width="0" style="53" hidden="1" customWidth="1"/>
    <col min="6921" max="6921" width="46.5703125" style="53" customWidth="1"/>
    <col min="6922" max="6922" width="32.7109375" style="53" customWidth="1"/>
    <col min="6923" max="6923" width="32.85546875" style="53" customWidth="1"/>
    <col min="6924" max="6924" width="31.5703125" style="53" customWidth="1"/>
    <col min="6925" max="6925" width="32.140625" style="53" customWidth="1"/>
    <col min="6926" max="6926" width="29" style="53" customWidth="1"/>
    <col min="6927" max="6927" width="32" style="53" customWidth="1"/>
    <col min="6928" max="6928" width="28.140625" style="53" bestFit="1" customWidth="1"/>
    <col min="6929" max="6929" width="23" style="53" bestFit="1" customWidth="1"/>
    <col min="6930" max="6930" width="43.85546875" style="53" bestFit="1" customWidth="1"/>
    <col min="6931" max="6932" width="0" style="53" hidden="1" customWidth="1"/>
    <col min="6933" max="6933" width="25" style="53" bestFit="1" customWidth="1"/>
    <col min="6934" max="6934" width="26.42578125" style="53" customWidth="1"/>
    <col min="6935" max="6935" width="41.5703125" style="53" bestFit="1" customWidth="1"/>
    <col min="6936" max="6936" width="25" style="53" bestFit="1" customWidth="1"/>
    <col min="6937" max="6937" width="49.28515625" style="53" bestFit="1" customWidth="1"/>
    <col min="6938" max="6947" width="0" style="53" hidden="1" customWidth="1"/>
    <col min="6948" max="6948" width="33.28515625" style="53" bestFit="1" customWidth="1"/>
    <col min="6949" max="6950" width="23.85546875" style="53" customWidth="1"/>
    <col min="6951" max="6952" width="29.42578125" style="53" customWidth="1"/>
    <col min="6953" max="6953" width="33.85546875" style="53" customWidth="1"/>
    <col min="6954" max="6954" width="30.140625" style="53" customWidth="1"/>
    <col min="6955" max="6959" width="0" style="53" hidden="1" customWidth="1"/>
    <col min="6960" max="6960" width="33.28515625" style="53" customWidth="1"/>
    <col min="6961" max="6964" width="0" style="53" hidden="1" customWidth="1"/>
    <col min="6965" max="6965" width="31.42578125" style="53" customWidth="1"/>
    <col min="6966" max="6967" width="0" style="53" hidden="1" customWidth="1"/>
    <col min="6968" max="6968" width="29.42578125" style="53" customWidth="1"/>
    <col min="6969" max="6970" width="0" style="53" hidden="1" customWidth="1"/>
    <col min="6971" max="6971" width="30.7109375" style="53" customWidth="1"/>
    <col min="6972" max="7168" width="13" style="53"/>
    <col min="7169" max="7171" width="0" style="53" hidden="1" customWidth="1"/>
    <col min="7172" max="7172" width="13.7109375" style="53" customWidth="1"/>
    <col min="7173" max="7176" width="0" style="53" hidden="1" customWidth="1"/>
    <col min="7177" max="7177" width="46.5703125" style="53" customWidth="1"/>
    <col min="7178" max="7178" width="32.7109375" style="53" customWidth="1"/>
    <col min="7179" max="7179" width="32.85546875" style="53" customWidth="1"/>
    <col min="7180" max="7180" width="31.5703125" style="53" customWidth="1"/>
    <col min="7181" max="7181" width="32.140625" style="53" customWidth="1"/>
    <col min="7182" max="7182" width="29" style="53" customWidth="1"/>
    <col min="7183" max="7183" width="32" style="53" customWidth="1"/>
    <col min="7184" max="7184" width="28.140625" style="53" bestFit="1" customWidth="1"/>
    <col min="7185" max="7185" width="23" style="53" bestFit="1" customWidth="1"/>
    <col min="7186" max="7186" width="43.85546875" style="53" bestFit="1" customWidth="1"/>
    <col min="7187" max="7188" width="0" style="53" hidden="1" customWidth="1"/>
    <col min="7189" max="7189" width="25" style="53" bestFit="1" customWidth="1"/>
    <col min="7190" max="7190" width="26.42578125" style="53" customWidth="1"/>
    <col min="7191" max="7191" width="41.5703125" style="53" bestFit="1" customWidth="1"/>
    <col min="7192" max="7192" width="25" style="53" bestFit="1" customWidth="1"/>
    <col min="7193" max="7193" width="49.28515625" style="53" bestFit="1" customWidth="1"/>
    <col min="7194" max="7203" width="0" style="53" hidden="1" customWidth="1"/>
    <col min="7204" max="7204" width="33.28515625" style="53" bestFit="1" customWidth="1"/>
    <col min="7205" max="7206" width="23.85546875" style="53" customWidth="1"/>
    <col min="7207" max="7208" width="29.42578125" style="53" customWidth="1"/>
    <col min="7209" max="7209" width="33.85546875" style="53" customWidth="1"/>
    <col min="7210" max="7210" width="30.140625" style="53" customWidth="1"/>
    <col min="7211" max="7215" width="0" style="53" hidden="1" customWidth="1"/>
    <col min="7216" max="7216" width="33.28515625" style="53" customWidth="1"/>
    <col min="7217" max="7220" width="0" style="53" hidden="1" customWidth="1"/>
    <col min="7221" max="7221" width="31.42578125" style="53" customWidth="1"/>
    <col min="7222" max="7223" width="0" style="53" hidden="1" customWidth="1"/>
    <col min="7224" max="7224" width="29.42578125" style="53" customWidth="1"/>
    <col min="7225" max="7226" width="0" style="53" hidden="1" customWidth="1"/>
    <col min="7227" max="7227" width="30.7109375" style="53" customWidth="1"/>
    <col min="7228" max="7424" width="13" style="53"/>
    <col min="7425" max="7427" width="0" style="53" hidden="1" customWidth="1"/>
    <col min="7428" max="7428" width="13.7109375" style="53" customWidth="1"/>
    <col min="7429" max="7432" width="0" style="53" hidden="1" customWidth="1"/>
    <col min="7433" max="7433" width="46.5703125" style="53" customWidth="1"/>
    <col min="7434" max="7434" width="32.7109375" style="53" customWidth="1"/>
    <col min="7435" max="7435" width="32.85546875" style="53" customWidth="1"/>
    <col min="7436" max="7436" width="31.5703125" style="53" customWidth="1"/>
    <col min="7437" max="7437" width="32.140625" style="53" customWidth="1"/>
    <col min="7438" max="7438" width="29" style="53" customWidth="1"/>
    <col min="7439" max="7439" width="32" style="53" customWidth="1"/>
    <col min="7440" max="7440" width="28.140625" style="53" bestFit="1" customWidth="1"/>
    <col min="7441" max="7441" width="23" style="53" bestFit="1" customWidth="1"/>
    <col min="7442" max="7442" width="43.85546875" style="53" bestFit="1" customWidth="1"/>
    <col min="7443" max="7444" width="0" style="53" hidden="1" customWidth="1"/>
    <col min="7445" max="7445" width="25" style="53" bestFit="1" customWidth="1"/>
    <col min="7446" max="7446" width="26.42578125" style="53" customWidth="1"/>
    <col min="7447" max="7447" width="41.5703125" style="53" bestFit="1" customWidth="1"/>
    <col min="7448" max="7448" width="25" style="53" bestFit="1" customWidth="1"/>
    <col min="7449" max="7449" width="49.28515625" style="53" bestFit="1" customWidth="1"/>
    <col min="7450" max="7459" width="0" style="53" hidden="1" customWidth="1"/>
    <col min="7460" max="7460" width="33.28515625" style="53" bestFit="1" customWidth="1"/>
    <col min="7461" max="7462" width="23.85546875" style="53" customWidth="1"/>
    <col min="7463" max="7464" width="29.42578125" style="53" customWidth="1"/>
    <col min="7465" max="7465" width="33.85546875" style="53" customWidth="1"/>
    <col min="7466" max="7466" width="30.140625" style="53" customWidth="1"/>
    <col min="7467" max="7471" width="0" style="53" hidden="1" customWidth="1"/>
    <col min="7472" max="7472" width="33.28515625" style="53" customWidth="1"/>
    <col min="7473" max="7476" width="0" style="53" hidden="1" customWidth="1"/>
    <col min="7477" max="7477" width="31.42578125" style="53" customWidth="1"/>
    <col min="7478" max="7479" width="0" style="53" hidden="1" customWidth="1"/>
    <col min="7480" max="7480" width="29.42578125" style="53" customWidth="1"/>
    <col min="7481" max="7482" width="0" style="53" hidden="1" customWidth="1"/>
    <col min="7483" max="7483" width="30.7109375" style="53" customWidth="1"/>
    <col min="7484" max="7680" width="13" style="53"/>
    <col min="7681" max="7683" width="0" style="53" hidden="1" customWidth="1"/>
    <col min="7684" max="7684" width="13.7109375" style="53" customWidth="1"/>
    <col min="7685" max="7688" width="0" style="53" hidden="1" customWidth="1"/>
    <col min="7689" max="7689" width="46.5703125" style="53" customWidth="1"/>
    <col min="7690" max="7690" width="32.7109375" style="53" customWidth="1"/>
    <col min="7691" max="7691" width="32.85546875" style="53" customWidth="1"/>
    <col min="7692" max="7692" width="31.5703125" style="53" customWidth="1"/>
    <col min="7693" max="7693" width="32.140625" style="53" customWidth="1"/>
    <col min="7694" max="7694" width="29" style="53" customWidth="1"/>
    <col min="7695" max="7695" width="32" style="53" customWidth="1"/>
    <col min="7696" max="7696" width="28.140625" style="53" bestFit="1" customWidth="1"/>
    <col min="7697" max="7697" width="23" style="53" bestFit="1" customWidth="1"/>
    <col min="7698" max="7698" width="43.85546875" style="53" bestFit="1" customWidth="1"/>
    <col min="7699" max="7700" width="0" style="53" hidden="1" customWidth="1"/>
    <col min="7701" max="7701" width="25" style="53" bestFit="1" customWidth="1"/>
    <col min="7702" max="7702" width="26.42578125" style="53" customWidth="1"/>
    <col min="7703" max="7703" width="41.5703125" style="53" bestFit="1" customWidth="1"/>
    <col min="7704" max="7704" width="25" style="53" bestFit="1" customWidth="1"/>
    <col min="7705" max="7705" width="49.28515625" style="53" bestFit="1" customWidth="1"/>
    <col min="7706" max="7715" width="0" style="53" hidden="1" customWidth="1"/>
    <col min="7716" max="7716" width="33.28515625" style="53" bestFit="1" customWidth="1"/>
    <col min="7717" max="7718" width="23.85546875" style="53" customWidth="1"/>
    <col min="7719" max="7720" width="29.42578125" style="53" customWidth="1"/>
    <col min="7721" max="7721" width="33.85546875" style="53" customWidth="1"/>
    <col min="7722" max="7722" width="30.140625" style="53" customWidth="1"/>
    <col min="7723" max="7727" width="0" style="53" hidden="1" customWidth="1"/>
    <col min="7728" max="7728" width="33.28515625" style="53" customWidth="1"/>
    <col min="7729" max="7732" width="0" style="53" hidden="1" customWidth="1"/>
    <col min="7733" max="7733" width="31.42578125" style="53" customWidth="1"/>
    <col min="7734" max="7735" width="0" style="53" hidden="1" customWidth="1"/>
    <col min="7736" max="7736" width="29.42578125" style="53" customWidth="1"/>
    <col min="7737" max="7738" width="0" style="53" hidden="1" customWidth="1"/>
    <col min="7739" max="7739" width="30.7109375" style="53" customWidth="1"/>
    <col min="7740" max="7936" width="13" style="53"/>
    <col min="7937" max="7939" width="0" style="53" hidden="1" customWidth="1"/>
    <col min="7940" max="7940" width="13.7109375" style="53" customWidth="1"/>
    <col min="7941" max="7944" width="0" style="53" hidden="1" customWidth="1"/>
    <col min="7945" max="7945" width="46.5703125" style="53" customWidth="1"/>
    <col min="7946" max="7946" width="32.7109375" style="53" customWidth="1"/>
    <col min="7947" max="7947" width="32.85546875" style="53" customWidth="1"/>
    <col min="7948" max="7948" width="31.5703125" style="53" customWidth="1"/>
    <col min="7949" max="7949" width="32.140625" style="53" customWidth="1"/>
    <col min="7950" max="7950" width="29" style="53" customWidth="1"/>
    <col min="7951" max="7951" width="32" style="53" customWidth="1"/>
    <col min="7952" max="7952" width="28.140625" style="53" bestFit="1" customWidth="1"/>
    <col min="7953" max="7953" width="23" style="53" bestFit="1" customWidth="1"/>
    <col min="7954" max="7954" width="43.85546875" style="53" bestFit="1" customWidth="1"/>
    <col min="7955" max="7956" width="0" style="53" hidden="1" customWidth="1"/>
    <col min="7957" max="7957" width="25" style="53" bestFit="1" customWidth="1"/>
    <col min="7958" max="7958" width="26.42578125" style="53" customWidth="1"/>
    <col min="7959" max="7959" width="41.5703125" style="53" bestFit="1" customWidth="1"/>
    <col min="7960" max="7960" width="25" style="53" bestFit="1" customWidth="1"/>
    <col min="7961" max="7961" width="49.28515625" style="53" bestFit="1" customWidth="1"/>
    <col min="7962" max="7971" width="0" style="53" hidden="1" customWidth="1"/>
    <col min="7972" max="7972" width="33.28515625" style="53" bestFit="1" customWidth="1"/>
    <col min="7973" max="7974" width="23.85546875" style="53" customWidth="1"/>
    <col min="7975" max="7976" width="29.42578125" style="53" customWidth="1"/>
    <col min="7977" max="7977" width="33.85546875" style="53" customWidth="1"/>
    <col min="7978" max="7978" width="30.140625" style="53" customWidth="1"/>
    <col min="7979" max="7983" width="0" style="53" hidden="1" customWidth="1"/>
    <col min="7984" max="7984" width="33.28515625" style="53" customWidth="1"/>
    <col min="7985" max="7988" width="0" style="53" hidden="1" customWidth="1"/>
    <col min="7989" max="7989" width="31.42578125" style="53" customWidth="1"/>
    <col min="7990" max="7991" width="0" style="53" hidden="1" customWidth="1"/>
    <col min="7992" max="7992" width="29.42578125" style="53" customWidth="1"/>
    <col min="7993" max="7994" width="0" style="53" hidden="1" customWidth="1"/>
    <col min="7995" max="7995" width="30.7109375" style="53" customWidth="1"/>
    <col min="7996" max="8192" width="13" style="53"/>
    <col min="8193" max="8195" width="0" style="53" hidden="1" customWidth="1"/>
    <col min="8196" max="8196" width="13.7109375" style="53" customWidth="1"/>
    <col min="8197" max="8200" width="0" style="53" hidden="1" customWidth="1"/>
    <col min="8201" max="8201" width="46.5703125" style="53" customWidth="1"/>
    <col min="8202" max="8202" width="32.7109375" style="53" customWidth="1"/>
    <col min="8203" max="8203" width="32.85546875" style="53" customWidth="1"/>
    <col min="8204" max="8204" width="31.5703125" style="53" customWidth="1"/>
    <col min="8205" max="8205" width="32.140625" style="53" customWidth="1"/>
    <col min="8206" max="8206" width="29" style="53" customWidth="1"/>
    <col min="8207" max="8207" width="32" style="53" customWidth="1"/>
    <col min="8208" max="8208" width="28.140625" style="53" bestFit="1" customWidth="1"/>
    <col min="8209" max="8209" width="23" style="53" bestFit="1" customWidth="1"/>
    <col min="8210" max="8210" width="43.85546875" style="53" bestFit="1" customWidth="1"/>
    <col min="8211" max="8212" width="0" style="53" hidden="1" customWidth="1"/>
    <col min="8213" max="8213" width="25" style="53" bestFit="1" customWidth="1"/>
    <col min="8214" max="8214" width="26.42578125" style="53" customWidth="1"/>
    <col min="8215" max="8215" width="41.5703125" style="53" bestFit="1" customWidth="1"/>
    <col min="8216" max="8216" width="25" style="53" bestFit="1" customWidth="1"/>
    <col min="8217" max="8217" width="49.28515625" style="53" bestFit="1" customWidth="1"/>
    <col min="8218" max="8227" width="0" style="53" hidden="1" customWidth="1"/>
    <col min="8228" max="8228" width="33.28515625" style="53" bestFit="1" customWidth="1"/>
    <col min="8229" max="8230" width="23.85546875" style="53" customWidth="1"/>
    <col min="8231" max="8232" width="29.42578125" style="53" customWidth="1"/>
    <col min="8233" max="8233" width="33.85546875" style="53" customWidth="1"/>
    <col min="8234" max="8234" width="30.140625" style="53" customWidth="1"/>
    <col min="8235" max="8239" width="0" style="53" hidden="1" customWidth="1"/>
    <col min="8240" max="8240" width="33.28515625" style="53" customWidth="1"/>
    <col min="8241" max="8244" width="0" style="53" hidden="1" customWidth="1"/>
    <col min="8245" max="8245" width="31.42578125" style="53" customWidth="1"/>
    <col min="8246" max="8247" width="0" style="53" hidden="1" customWidth="1"/>
    <col min="8248" max="8248" width="29.42578125" style="53" customWidth="1"/>
    <col min="8249" max="8250" width="0" style="53" hidden="1" customWidth="1"/>
    <col min="8251" max="8251" width="30.7109375" style="53" customWidth="1"/>
    <col min="8252" max="8448" width="13" style="53"/>
    <col min="8449" max="8451" width="0" style="53" hidden="1" customWidth="1"/>
    <col min="8452" max="8452" width="13.7109375" style="53" customWidth="1"/>
    <col min="8453" max="8456" width="0" style="53" hidden="1" customWidth="1"/>
    <col min="8457" max="8457" width="46.5703125" style="53" customWidth="1"/>
    <col min="8458" max="8458" width="32.7109375" style="53" customWidth="1"/>
    <col min="8459" max="8459" width="32.85546875" style="53" customWidth="1"/>
    <col min="8460" max="8460" width="31.5703125" style="53" customWidth="1"/>
    <col min="8461" max="8461" width="32.140625" style="53" customWidth="1"/>
    <col min="8462" max="8462" width="29" style="53" customWidth="1"/>
    <col min="8463" max="8463" width="32" style="53" customWidth="1"/>
    <col min="8464" max="8464" width="28.140625" style="53" bestFit="1" customWidth="1"/>
    <col min="8465" max="8465" width="23" style="53" bestFit="1" customWidth="1"/>
    <col min="8466" max="8466" width="43.85546875" style="53" bestFit="1" customWidth="1"/>
    <col min="8467" max="8468" width="0" style="53" hidden="1" customWidth="1"/>
    <col min="8469" max="8469" width="25" style="53" bestFit="1" customWidth="1"/>
    <col min="8470" max="8470" width="26.42578125" style="53" customWidth="1"/>
    <col min="8471" max="8471" width="41.5703125" style="53" bestFit="1" customWidth="1"/>
    <col min="8472" max="8472" width="25" style="53" bestFit="1" customWidth="1"/>
    <col min="8473" max="8473" width="49.28515625" style="53" bestFit="1" customWidth="1"/>
    <col min="8474" max="8483" width="0" style="53" hidden="1" customWidth="1"/>
    <col min="8484" max="8484" width="33.28515625" style="53" bestFit="1" customWidth="1"/>
    <col min="8485" max="8486" width="23.85546875" style="53" customWidth="1"/>
    <col min="8487" max="8488" width="29.42578125" style="53" customWidth="1"/>
    <col min="8489" max="8489" width="33.85546875" style="53" customWidth="1"/>
    <col min="8490" max="8490" width="30.140625" style="53" customWidth="1"/>
    <col min="8491" max="8495" width="0" style="53" hidden="1" customWidth="1"/>
    <col min="8496" max="8496" width="33.28515625" style="53" customWidth="1"/>
    <col min="8497" max="8500" width="0" style="53" hidden="1" customWidth="1"/>
    <col min="8501" max="8501" width="31.42578125" style="53" customWidth="1"/>
    <col min="8502" max="8503" width="0" style="53" hidden="1" customWidth="1"/>
    <col min="8504" max="8504" width="29.42578125" style="53" customWidth="1"/>
    <col min="8505" max="8506" width="0" style="53" hidden="1" customWidth="1"/>
    <col min="8507" max="8507" width="30.7109375" style="53" customWidth="1"/>
    <col min="8508" max="8704" width="13" style="53"/>
    <col min="8705" max="8707" width="0" style="53" hidden="1" customWidth="1"/>
    <col min="8708" max="8708" width="13.7109375" style="53" customWidth="1"/>
    <col min="8709" max="8712" width="0" style="53" hidden="1" customWidth="1"/>
    <col min="8713" max="8713" width="46.5703125" style="53" customWidth="1"/>
    <col min="8714" max="8714" width="32.7109375" style="53" customWidth="1"/>
    <col min="8715" max="8715" width="32.85546875" style="53" customWidth="1"/>
    <col min="8716" max="8716" width="31.5703125" style="53" customWidth="1"/>
    <col min="8717" max="8717" width="32.140625" style="53" customWidth="1"/>
    <col min="8718" max="8718" width="29" style="53" customWidth="1"/>
    <col min="8719" max="8719" width="32" style="53" customWidth="1"/>
    <col min="8720" max="8720" width="28.140625" style="53" bestFit="1" customWidth="1"/>
    <col min="8721" max="8721" width="23" style="53" bestFit="1" customWidth="1"/>
    <col min="8722" max="8722" width="43.85546875" style="53" bestFit="1" customWidth="1"/>
    <col min="8723" max="8724" width="0" style="53" hidden="1" customWidth="1"/>
    <col min="8725" max="8725" width="25" style="53" bestFit="1" customWidth="1"/>
    <col min="8726" max="8726" width="26.42578125" style="53" customWidth="1"/>
    <col min="8727" max="8727" width="41.5703125" style="53" bestFit="1" customWidth="1"/>
    <col min="8728" max="8728" width="25" style="53" bestFit="1" customWidth="1"/>
    <col min="8729" max="8729" width="49.28515625" style="53" bestFit="1" customWidth="1"/>
    <col min="8730" max="8739" width="0" style="53" hidden="1" customWidth="1"/>
    <col min="8740" max="8740" width="33.28515625" style="53" bestFit="1" customWidth="1"/>
    <col min="8741" max="8742" width="23.85546875" style="53" customWidth="1"/>
    <col min="8743" max="8744" width="29.42578125" style="53" customWidth="1"/>
    <col min="8745" max="8745" width="33.85546875" style="53" customWidth="1"/>
    <col min="8746" max="8746" width="30.140625" style="53" customWidth="1"/>
    <col min="8747" max="8751" width="0" style="53" hidden="1" customWidth="1"/>
    <col min="8752" max="8752" width="33.28515625" style="53" customWidth="1"/>
    <col min="8753" max="8756" width="0" style="53" hidden="1" customWidth="1"/>
    <col min="8757" max="8757" width="31.42578125" style="53" customWidth="1"/>
    <col min="8758" max="8759" width="0" style="53" hidden="1" customWidth="1"/>
    <col min="8760" max="8760" width="29.42578125" style="53" customWidth="1"/>
    <col min="8761" max="8762" width="0" style="53" hidden="1" customWidth="1"/>
    <col min="8763" max="8763" width="30.7109375" style="53" customWidth="1"/>
    <col min="8764" max="8960" width="13" style="53"/>
    <col min="8961" max="8963" width="0" style="53" hidden="1" customWidth="1"/>
    <col min="8964" max="8964" width="13.7109375" style="53" customWidth="1"/>
    <col min="8965" max="8968" width="0" style="53" hidden="1" customWidth="1"/>
    <col min="8969" max="8969" width="46.5703125" style="53" customWidth="1"/>
    <col min="8970" max="8970" width="32.7109375" style="53" customWidth="1"/>
    <col min="8971" max="8971" width="32.85546875" style="53" customWidth="1"/>
    <col min="8972" max="8972" width="31.5703125" style="53" customWidth="1"/>
    <col min="8973" max="8973" width="32.140625" style="53" customWidth="1"/>
    <col min="8974" max="8974" width="29" style="53" customWidth="1"/>
    <col min="8975" max="8975" width="32" style="53" customWidth="1"/>
    <col min="8976" max="8976" width="28.140625" style="53" bestFit="1" customWidth="1"/>
    <col min="8977" max="8977" width="23" style="53" bestFit="1" customWidth="1"/>
    <col min="8978" max="8978" width="43.85546875" style="53" bestFit="1" customWidth="1"/>
    <col min="8979" max="8980" width="0" style="53" hidden="1" customWidth="1"/>
    <col min="8981" max="8981" width="25" style="53" bestFit="1" customWidth="1"/>
    <col min="8982" max="8982" width="26.42578125" style="53" customWidth="1"/>
    <col min="8983" max="8983" width="41.5703125" style="53" bestFit="1" customWidth="1"/>
    <col min="8984" max="8984" width="25" style="53" bestFit="1" customWidth="1"/>
    <col min="8985" max="8985" width="49.28515625" style="53" bestFit="1" customWidth="1"/>
    <col min="8986" max="8995" width="0" style="53" hidden="1" customWidth="1"/>
    <col min="8996" max="8996" width="33.28515625" style="53" bestFit="1" customWidth="1"/>
    <col min="8997" max="8998" width="23.85546875" style="53" customWidth="1"/>
    <col min="8999" max="9000" width="29.42578125" style="53" customWidth="1"/>
    <col min="9001" max="9001" width="33.85546875" style="53" customWidth="1"/>
    <col min="9002" max="9002" width="30.140625" style="53" customWidth="1"/>
    <col min="9003" max="9007" width="0" style="53" hidden="1" customWidth="1"/>
    <col min="9008" max="9008" width="33.28515625" style="53" customWidth="1"/>
    <col min="9009" max="9012" width="0" style="53" hidden="1" customWidth="1"/>
    <col min="9013" max="9013" width="31.42578125" style="53" customWidth="1"/>
    <col min="9014" max="9015" width="0" style="53" hidden="1" customWidth="1"/>
    <col min="9016" max="9016" width="29.42578125" style="53" customWidth="1"/>
    <col min="9017" max="9018" width="0" style="53" hidden="1" customWidth="1"/>
    <col min="9019" max="9019" width="30.7109375" style="53" customWidth="1"/>
    <col min="9020" max="9216" width="13" style="53"/>
    <col min="9217" max="9219" width="0" style="53" hidden="1" customWidth="1"/>
    <col min="9220" max="9220" width="13.7109375" style="53" customWidth="1"/>
    <col min="9221" max="9224" width="0" style="53" hidden="1" customWidth="1"/>
    <col min="9225" max="9225" width="46.5703125" style="53" customWidth="1"/>
    <col min="9226" max="9226" width="32.7109375" style="53" customWidth="1"/>
    <col min="9227" max="9227" width="32.85546875" style="53" customWidth="1"/>
    <col min="9228" max="9228" width="31.5703125" style="53" customWidth="1"/>
    <col min="9229" max="9229" width="32.140625" style="53" customWidth="1"/>
    <col min="9230" max="9230" width="29" style="53" customWidth="1"/>
    <col min="9231" max="9231" width="32" style="53" customWidth="1"/>
    <col min="9232" max="9232" width="28.140625" style="53" bestFit="1" customWidth="1"/>
    <col min="9233" max="9233" width="23" style="53" bestFit="1" customWidth="1"/>
    <col min="9234" max="9234" width="43.85546875" style="53" bestFit="1" customWidth="1"/>
    <col min="9235" max="9236" width="0" style="53" hidden="1" customWidth="1"/>
    <col min="9237" max="9237" width="25" style="53" bestFit="1" customWidth="1"/>
    <col min="9238" max="9238" width="26.42578125" style="53" customWidth="1"/>
    <col min="9239" max="9239" width="41.5703125" style="53" bestFit="1" customWidth="1"/>
    <col min="9240" max="9240" width="25" style="53" bestFit="1" customWidth="1"/>
    <col min="9241" max="9241" width="49.28515625" style="53" bestFit="1" customWidth="1"/>
    <col min="9242" max="9251" width="0" style="53" hidden="1" customWidth="1"/>
    <col min="9252" max="9252" width="33.28515625" style="53" bestFit="1" customWidth="1"/>
    <col min="9253" max="9254" width="23.85546875" style="53" customWidth="1"/>
    <col min="9255" max="9256" width="29.42578125" style="53" customWidth="1"/>
    <col min="9257" max="9257" width="33.85546875" style="53" customWidth="1"/>
    <col min="9258" max="9258" width="30.140625" style="53" customWidth="1"/>
    <col min="9259" max="9263" width="0" style="53" hidden="1" customWidth="1"/>
    <col min="9264" max="9264" width="33.28515625" style="53" customWidth="1"/>
    <col min="9265" max="9268" width="0" style="53" hidden="1" customWidth="1"/>
    <col min="9269" max="9269" width="31.42578125" style="53" customWidth="1"/>
    <col min="9270" max="9271" width="0" style="53" hidden="1" customWidth="1"/>
    <col min="9272" max="9272" width="29.42578125" style="53" customWidth="1"/>
    <col min="9273" max="9274" width="0" style="53" hidden="1" customWidth="1"/>
    <col min="9275" max="9275" width="30.7109375" style="53" customWidth="1"/>
    <col min="9276" max="9472" width="13" style="53"/>
    <col min="9473" max="9475" width="0" style="53" hidden="1" customWidth="1"/>
    <col min="9476" max="9476" width="13.7109375" style="53" customWidth="1"/>
    <col min="9477" max="9480" width="0" style="53" hidden="1" customWidth="1"/>
    <col min="9481" max="9481" width="46.5703125" style="53" customWidth="1"/>
    <col min="9482" max="9482" width="32.7109375" style="53" customWidth="1"/>
    <col min="9483" max="9483" width="32.85546875" style="53" customWidth="1"/>
    <col min="9484" max="9484" width="31.5703125" style="53" customWidth="1"/>
    <col min="9485" max="9485" width="32.140625" style="53" customWidth="1"/>
    <col min="9486" max="9486" width="29" style="53" customWidth="1"/>
    <col min="9487" max="9487" width="32" style="53" customWidth="1"/>
    <col min="9488" max="9488" width="28.140625" style="53" bestFit="1" customWidth="1"/>
    <col min="9489" max="9489" width="23" style="53" bestFit="1" customWidth="1"/>
    <col min="9490" max="9490" width="43.85546875" style="53" bestFit="1" customWidth="1"/>
    <col min="9491" max="9492" width="0" style="53" hidden="1" customWidth="1"/>
    <col min="9493" max="9493" width="25" style="53" bestFit="1" customWidth="1"/>
    <col min="9494" max="9494" width="26.42578125" style="53" customWidth="1"/>
    <col min="9495" max="9495" width="41.5703125" style="53" bestFit="1" customWidth="1"/>
    <col min="9496" max="9496" width="25" style="53" bestFit="1" customWidth="1"/>
    <col min="9497" max="9497" width="49.28515625" style="53" bestFit="1" customWidth="1"/>
    <col min="9498" max="9507" width="0" style="53" hidden="1" customWidth="1"/>
    <col min="9508" max="9508" width="33.28515625" style="53" bestFit="1" customWidth="1"/>
    <col min="9509" max="9510" width="23.85546875" style="53" customWidth="1"/>
    <col min="9511" max="9512" width="29.42578125" style="53" customWidth="1"/>
    <col min="9513" max="9513" width="33.85546875" style="53" customWidth="1"/>
    <col min="9514" max="9514" width="30.140625" style="53" customWidth="1"/>
    <col min="9515" max="9519" width="0" style="53" hidden="1" customWidth="1"/>
    <col min="9520" max="9520" width="33.28515625" style="53" customWidth="1"/>
    <col min="9521" max="9524" width="0" style="53" hidden="1" customWidth="1"/>
    <col min="9525" max="9525" width="31.42578125" style="53" customWidth="1"/>
    <col min="9526" max="9527" width="0" style="53" hidden="1" customWidth="1"/>
    <col min="9528" max="9528" width="29.42578125" style="53" customWidth="1"/>
    <col min="9529" max="9530" width="0" style="53" hidden="1" customWidth="1"/>
    <col min="9531" max="9531" width="30.7109375" style="53" customWidth="1"/>
    <col min="9532" max="9728" width="13" style="53"/>
    <col min="9729" max="9731" width="0" style="53" hidden="1" customWidth="1"/>
    <col min="9732" max="9732" width="13.7109375" style="53" customWidth="1"/>
    <col min="9733" max="9736" width="0" style="53" hidden="1" customWidth="1"/>
    <col min="9737" max="9737" width="46.5703125" style="53" customWidth="1"/>
    <col min="9738" max="9738" width="32.7109375" style="53" customWidth="1"/>
    <col min="9739" max="9739" width="32.85546875" style="53" customWidth="1"/>
    <col min="9740" max="9740" width="31.5703125" style="53" customWidth="1"/>
    <col min="9741" max="9741" width="32.140625" style="53" customWidth="1"/>
    <col min="9742" max="9742" width="29" style="53" customWidth="1"/>
    <col min="9743" max="9743" width="32" style="53" customWidth="1"/>
    <col min="9744" max="9744" width="28.140625" style="53" bestFit="1" customWidth="1"/>
    <col min="9745" max="9745" width="23" style="53" bestFit="1" customWidth="1"/>
    <col min="9746" max="9746" width="43.85546875" style="53" bestFit="1" customWidth="1"/>
    <col min="9747" max="9748" width="0" style="53" hidden="1" customWidth="1"/>
    <col min="9749" max="9749" width="25" style="53" bestFit="1" customWidth="1"/>
    <col min="9750" max="9750" width="26.42578125" style="53" customWidth="1"/>
    <col min="9751" max="9751" width="41.5703125" style="53" bestFit="1" customWidth="1"/>
    <col min="9752" max="9752" width="25" style="53" bestFit="1" customWidth="1"/>
    <col min="9753" max="9753" width="49.28515625" style="53" bestFit="1" customWidth="1"/>
    <col min="9754" max="9763" width="0" style="53" hidden="1" customWidth="1"/>
    <col min="9764" max="9764" width="33.28515625" style="53" bestFit="1" customWidth="1"/>
    <col min="9765" max="9766" width="23.85546875" style="53" customWidth="1"/>
    <col min="9767" max="9768" width="29.42578125" style="53" customWidth="1"/>
    <col min="9769" max="9769" width="33.85546875" style="53" customWidth="1"/>
    <col min="9770" max="9770" width="30.140625" style="53" customWidth="1"/>
    <col min="9771" max="9775" width="0" style="53" hidden="1" customWidth="1"/>
    <col min="9776" max="9776" width="33.28515625" style="53" customWidth="1"/>
    <col min="9777" max="9780" width="0" style="53" hidden="1" customWidth="1"/>
    <col min="9781" max="9781" width="31.42578125" style="53" customWidth="1"/>
    <col min="9782" max="9783" width="0" style="53" hidden="1" customWidth="1"/>
    <col min="9784" max="9784" width="29.42578125" style="53" customWidth="1"/>
    <col min="9785" max="9786" width="0" style="53" hidden="1" customWidth="1"/>
    <col min="9787" max="9787" width="30.7109375" style="53" customWidth="1"/>
    <col min="9788" max="9984" width="13" style="53"/>
    <col min="9985" max="9987" width="0" style="53" hidden="1" customWidth="1"/>
    <col min="9988" max="9988" width="13.7109375" style="53" customWidth="1"/>
    <col min="9989" max="9992" width="0" style="53" hidden="1" customWidth="1"/>
    <col min="9993" max="9993" width="46.5703125" style="53" customWidth="1"/>
    <col min="9994" max="9994" width="32.7109375" style="53" customWidth="1"/>
    <col min="9995" max="9995" width="32.85546875" style="53" customWidth="1"/>
    <col min="9996" max="9996" width="31.5703125" style="53" customWidth="1"/>
    <col min="9997" max="9997" width="32.140625" style="53" customWidth="1"/>
    <col min="9998" max="9998" width="29" style="53" customWidth="1"/>
    <col min="9999" max="9999" width="32" style="53" customWidth="1"/>
    <col min="10000" max="10000" width="28.140625" style="53" bestFit="1" customWidth="1"/>
    <col min="10001" max="10001" width="23" style="53" bestFit="1" customWidth="1"/>
    <col min="10002" max="10002" width="43.85546875" style="53" bestFit="1" customWidth="1"/>
    <col min="10003" max="10004" width="0" style="53" hidden="1" customWidth="1"/>
    <col min="10005" max="10005" width="25" style="53" bestFit="1" customWidth="1"/>
    <col min="10006" max="10006" width="26.42578125" style="53" customWidth="1"/>
    <col min="10007" max="10007" width="41.5703125" style="53" bestFit="1" customWidth="1"/>
    <col min="10008" max="10008" width="25" style="53" bestFit="1" customWidth="1"/>
    <col min="10009" max="10009" width="49.28515625" style="53" bestFit="1" customWidth="1"/>
    <col min="10010" max="10019" width="0" style="53" hidden="1" customWidth="1"/>
    <col min="10020" max="10020" width="33.28515625" style="53" bestFit="1" customWidth="1"/>
    <col min="10021" max="10022" width="23.85546875" style="53" customWidth="1"/>
    <col min="10023" max="10024" width="29.42578125" style="53" customWidth="1"/>
    <col min="10025" max="10025" width="33.85546875" style="53" customWidth="1"/>
    <col min="10026" max="10026" width="30.140625" style="53" customWidth="1"/>
    <col min="10027" max="10031" width="0" style="53" hidden="1" customWidth="1"/>
    <col min="10032" max="10032" width="33.28515625" style="53" customWidth="1"/>
    <col min="10033" max="10036" width="0" style="53" hidden="1" customWidth="1"/>
    <col min="10037" max="10037" width="31.42578125" style="53" customWidth="1"/>
    <col min="10038" max="10039" width="0" style="53" hidden="1" customWidth="1"/>
    <col min="10040" max="10040" width="29.42578125" style="53" customWidth="1"/>
    <col min="10041" max="10042" width="0" style="53" hidden="1" customWidth="1"/>
    <col min="10043" max="10043" width="30.7109375" style="53" customWidth="1"/>
    <col min="10044" max="10240" width="13" style="53"/>
    <col min="10241" max="10243" width="0" style="53" hidden="1" customWidth="1"/>
    <col min="10244" max="10244" width="13.7109375" style="53" customWidth="1"/>
    <col min="10245" max="10248" width="0" style="53" hidden="1" customWidth="1"/>
    <col min="10249" max="10249" width="46.5703125" style="53" customWidth="1"/>
    <col min="10250" max="10250" width="32.7109375" style="53" customWidth="1"/>
    <col min="10251" max="10251" width="32.85546875" style="53" customWidth="1"/>
    <col min="10252" max="10252" width="31.5703125" style="53" customWidth="1"/>
    <col min="10253" max="10253" width="32.140625" style="53" customWidth="1"/>
    <col min="10254" max="10254" width="29" style="53" customWidth="1"/>
    <col min="10255" max="10255" width="32" style="53" customWidth="1"/>
    <col min="10256" max="10256" width="28.140625" style="53" bestFit="1" customWidth="1"/>
    <col min="10257" max="10257" width="23" style="53" bestFit="1" customWidth="1"/>
    <col min="10258" max="10258" width="43.85546875" style="53" bestFit="1" customWidth="1"/>
    <col min="10259" max="10260" width="0" style="53" hidden="1" customWidth="1"/>
    <col min="10261" max="10261" width="25" style="53" bestFit="1" customWidth="1"/>
    <col min="10262" max="10262" width="26.42578125" style="53" customWidth="1"/>
    <col min="10263" max="10263" width="41.5703125" style="53" bestFit="1" customWidth="1"/>
    <col min="10264" max="10264" width="25" style="53" bestFit="1" customWidth="1"/>
    <col min="10265" max="10265" width="49.28515625" style="53" bestFit="1" customWidth="1"/>
    <col min="10266" max="10275" width="0" style="53" hidden="1" customWidth="1"/>
    <col min="10276" max="10276" width="33.28515625" style="53" bestFit="1" customWidth="1"/>
    <col min="10277" max="10278" width="23.85546875" style="53" customWidth="1"/>
    <col min="10279" max="10280" width="29.42578125" style="53" customWidth="1"/>
    <col min="10281" max="10281" width="33.85546875" style="53" customWidth="1"/>
    <col min="10282" max="10282" width="30.140625" style="53" customWidth="1"/>
    <col min="10283" max="10287" width="0" style="53" hidden="1" customWidth="1"/>
    <col min="10288" max="10288" width="33.28515625" style="53" customWidth="1"/>
    <col min="10289" max="10292" width="0" style="53" hidden="1" customWidth="1"/>
    <col min="10293" max="10293" width="31.42578125" style="53" customWidth="1"/>
    <col min="10294" max="10295" width="0" style="53" hidden="1" customWidth="1"/>
    <col min="10296" max="10296" width="29.42578125" style="53" customWidth="1"/>
    <col min="10297" max="10298" width="0" style="53" hidden="1" customWidth="1"/>
    <col min="10299" max="10299" width="30.7109375" style="53" customWidth="1"/>
    <col min="10300" max="10496" width="13" style="53"/>
    <col min="10497" max="10499" width="0" style="53" hidden="1" customWidth="1"/>
    <col min="10500" max="10500" width="13.7109375" style="53" customWidth="1"/>
    <col min="10501" max="10504" width="0" style="53" hidden="1" customWidth="1"/>
    <col min="10505" max="10505" width="46.5703125" style="53" customWidth="1"/>
    <col min="10506" max="10506" width="32.7109375" style="53" customWidth="1"/>
    <col min="10507" max="10507" width="32.85546875" style="53" customWidth="1"/>
    <col min="10508" max="10508" width="31.5703125" style="53" customWidth="1"/>
    <col min="10509" max="10509" width="32.140625" style="53" customWidth="1"/>
    <col min="10510" max="10510" width="29" style="53" customWidth="1"/>
    <col min="10511" max="10511" width="32" style="53" customWidth="1"/>
    <col min="10512" max="10512" width="28.140625" style="53" bestFit="1" customWidth="1"/>
    <col min="10513" max="10513" width="23" style="53" bestFit="1" customWidth="1"/>
    <col min="10514" max="10514" width="43.85546875" style="53" bestFit="1" customWidth="1"/>
    <col min="10515" max="10516" width="0" style="53" hidden="1" customWidth="1"/>
    <col min="10517" max="10517" width="25" style="53" bestFit="1" customWidth="1"/>
    <col min="10518" max="10518" width="26.42578125" style="53" customWidth="1"/>
    <col min="10519" max="10519" width="41.5703125" style="53" bestFit="1" customWidth="1"/>
    <col min="10520" max="10520" width="25" style="53" bestFit="1" customWidth="1"/>
    <col min="10521" max="10521" width="49.28515625" style="53" bestFit="1" customWidth="1"/>
    <col min="10522" max="10531" width="0" style="53" hidden="1" customWidth="1"/>
    <col min="10532" max="10532" width="33.28515625" style="53" bestFit="1" customWidth="1"/>
    <col min="10533" max="10534" width="23.85546875" style="53" customWidth="1"/>
    <col min="10535" max="10536" width="29.42578125" style="53" customWidth="1"/>
    <col min="10537" max="10537" width="33.85546875" style="53" customWidth="1"/>
    <col min="10538" max="10538" width="30.140625" style="53" customWidth="1"/>
    <col min="10539" max="10543" width="0" style="53" hidden="1" customWidth="1"/>
    <col min="10544" max="10544" width="33.28515625" style="53" customWidth="1"/>
    <col min="10545" max="10548" width="0" style="53" hidden="1" customWidth="1"/>
    <col min="10549" max="10549" width="31.42578125" style="53" customWidth="1"/>
    <col min="10550" max="10551" width="0" style="53" hidden="1" customWidth="1"/>
    <col min="10552" max="10552" width="29.42578125" style="53" customWidth="1"/>
    <col min="10553" max="10554" width="0" style="53" hidden="1" customWidth="1"/>
    <col min="10555" max="10555" width="30.7109375" style="53" customWidth="1"/>
    <col min="10556" max="10752" width="13" style="53"/>
    <col min="10753" max="10755" width="0" style="53" hidden="1" customWidth="1"/>
    <col min="10756" max="10756" width="13.7109375" style="53" customWidth="1"/>
    <col min="10757" max="10760" width="0" style="53" hidden="1" customWidth="1"/>
    <col min="10761" max="10761" width="46.5703125" style="53" customWidth="1"/>
    <col min="10762" max="10762" width="32.7109375" style="53" customWidth="1"/>
    <col min="10763" max="10763" width="32.85546875" style="53" customWidth="1"/>
    <col min="10764" max="10764" width="31.5703125" style="53" customWidth="1"/>
    <col min="10765" max="10765" width="32.140625" style="53" customWidth="1"/>
    <col min="10766" max="10766" width="29" style="53" customWidth="1"/>
    <col min="10767" max="10767" width="32" style="53" customWidth="1"/>
    <col min="10768" max="10768" width="28.140625" style="53" bestFit="1" customWidth="1"/>
    <col min="10769" max="10769" width="23" style="53" bestFit="1" customWidth="1"/>
    <col min="10770" max="10770" width="43.85546875" style="53" bestFit="1" customWidth="1"/>
    <col min="10771" max="10772" width="0" style="53" hidden="1" customWidth="1"/>
    <col min="10773" max="10773" width="25" style="53" bestFit="1" customWidth="1"/>
    <col min="10774" max="10774" width="26.42578125" style="53" customWidth="1"/>
    <col min="10775" max="10775" width="41.5703125" style="53" bestFit="1" customWidth="1"/>
    <col min="10776" max="10776" width="25" style="53" bestFit="1" customWidth="1"/>
    <col min="10777" max="10777" width="49.28515625" style="53" bestFit="1" customWidth="1"/>
    <col min="10778" max="10787" width="0" style="53" hidden="1" customWidth="1"/>
    <col min="10788" max="10788" width="33.28515625" style="53" bestFit="1" customWidth="1"/>
    <col min="10789" max="10790" width="23.85546875" style="53" customWidth="1"/>
    <col min="10791" max="10792" width="29.42578125" style="53" customWidth="1"/>
    <col min="10793" max="10793" width="33.85546875" style="53" customWidth="1"/>
    <col min="10794" max="10794" width="30.140625" style="53" customWidth="1"/>
    <col min="10795" max="10799" width="0" style="53" hidden="1" customWidth="1"/>
    <col min="10800" max="10800" width="33.28515625" style="53" customWidth="1"/>
    <col min="10801" max="10804" width="0" style="53" hidden="1" customWidth="1"/>
    <col min="10805" max="10805" width="31.42578125" style="53" customWidth="1"/>
    <col min="10806" max="10807" width="0" style="53" hidden="1" customWidth="1"/>
    <col min="10808" max="10808" width="29.42578125" style="53" customWidth="1"/>
    <col min="10809" max="10810" width="0" style="53" hidden="1" customWidth="1"/>
    <col min="10811" max="10811" width="30.7109375" style="53" customWidth="1"/>
    <col min="10812" max="11008" width="13" style="53"/>
    <col min="11009" max="11011" width="0" style="53" hidden="1" customWidth="1"/>
    <col min="11012" max="11012" width="13.7109375" style="53" customWidth="1"/>
    <col min="11013" max="11016" width="0" style="53" hidden="1" customWidth="1"/>
    <col min="11017" max="11017" width="46.5703125" style="53" customWidth="1"/>
    <col min="11018" max="11018" width="32.7109375" style="53" customWidth="1"/>
    <col min="11019" max="11019" width="32.85546875" style="53" customWidth="1"/>
    <col min="11020" max="11020" width="31.5703125" style="53" customWidth="1"/>
    <col min="11021" max="11021" width="32.140625" style="53" customWidth="1"/>
    <col min="11022" max="11022" width="29" style="53" customWidth="1"/>
    <col min="11023" max="11023" width="32" style="53" customWidth="1"/>
    <col min="11024" max="11024" width="28.140625" style="53" bestFit="1" customWidth="1"/>
    <col min="11025" max="11025" width="23" style="53" bestFit="1" customWidth="1"/>
    <col min="11026" max="11026" width="43.85546875" style="53" bestFit="1" customWidth="1"/>
    <col min="11027" max="11028" width="0" style="53" hidden="1" customWidth="1"/>
    <col min="11029" max="11029" width="25" style="53" bestFit="1" customWidth="1"/>
    <col min="11030" max="11030" width="26.42578125" style="53" customWidth="1"/>
    <col min="11031" max="11031" width="41.5703125" style="53" bestFit="1" customWidth="1"/>
    <col min="11032" max="11032" width="25" style="53" bestFit="1" customWidth="1"/>
    <col min="11033" max="11033" width="49.28515625" style="53" bestFit="1" customWidth="1"/>
    <col min="11034" max="11043" width="0" style="53" hidden="1" customWidth="1"/>
    <col min="11044" max="11044" width="33.28515625" style="53" bestFit="1" customWidth="1"/>
    <col min="11045" max="11046" width="23.85546875" style="53" customWidth="1"/>
    <col min="11047" max="11048" width="29.42578125" style="53" customWidth="1"/>
    <col min="11049" max="11049" width="33.85546875" style="53" customWidth="1"/>
    <col min="11050" max="11050" width="30.140625" style="53" customWidth="1"/>
    <col min="11051" max="11055" width="0" style="53" hidden="1" customWidth="1"/>
    <col min="11056" max="11056" width="33.28515625" style="53" customWidth="1"/>
    <col min="11057" max="11060" width="0" style="53" hidden="1" customWidth="1"/>
    <col min="11061" max="11061" width="31.42578125" style="53" customWidth="1"/>
    <col min="11062" max="11063" width="0" style="53" hidden="1" customWidth="1"/>
    <col min="11064" max="11064" width="29.42578125" style="53" customWidth="1"/>
    <col min="11065" max="11066" width="0" style="53" hidden="1" customWidth="1"/>
    <col min="11067" max="11067" width="30.7109375" style="53" customWidth="1"/>
    <col min="11068" max="11264" width="13" style="53"/>
    <col min="11265" max="11267" width="0" style="53" hidden="1" customWidth="1"/>
    <col min="11268" max="11268" width="13.7109375" style="53" customWidth="1"/>
    <col min="11269" max="11272" width="0" style="53" hidden="1" customWidth="1"/>
    <col min="11273" max="11273" width="46.5703125" style="53" customWidth="1"/>
    <col min="11274" max="11274" width="32.7109375" style="53" customWidth="1"/>
    <col min="11275" max="11275" width="32.85546875" style="53" customWidth="1"/>
    <col min="11276" max="11276" width="31.5703125" style="53" customWidth="1"/>
    <col min="11277" max="11277" width="32.140625" style="53" customWidth="1"/>
    <col min="11278" max="11278" width="29" style="53" customWidth="1"/>
    <col min="11279" max="11279" width="32" style="53" customWidth="1"/>
    <col min="11280" max="11280" width="28.140625" style="53" bestFit="1" customWidth="1"/>
    <col min="11281" max="11281" width="23" style="53" bestFit="1" customWidth="1"/>
    <col min="11282" max="11282" width="43.85546875" style="53" bestFit="1" customWidth="1"/>
    <col min="11283" max="11284" width="0" style="53" hidden="1" customWidth="1"/>
    <col min="11285" max="11285" width="25" style="53" bestFit="1" customWidth="1"/>
    <col min="11286" max="11286" width="26.42578125" style="53" customWidth="1"/>
    <col min="11287" max="11287" width="41.5703125" style="53" bestFit="1" customWidth="1"/>
    <col min="11288" max="11288" width="25" style="53" bestFit="1" customWidth="1"/>
    <col min="11289" max="11289" width="49.28515625" style="53" bestFit="1" customWidth="1"/>
    <col min="11290" max="11299" width="0" style="53" hidden="1" customWidth="1"/>
    <col min="11300" max="11300" width="33.28515625" style="53" bestFit="1" customWidth="1"/>
    <col min="11301" max="11302" width="23.85546875" style="53" customWidth="1"/>
    <col min="11303" max="11304" width="29.42578125" style="53" customWidth="1"/>
    <col min="11305" max="11305" width="33.85546875" style="53" customWidth="1"/>
    <col min="11306" max="11306" width="30.140625" style="53" customWidth="1"/>
    <col min="11307" max="11311" width="0" style="53" hidden="1" customWidth="1"/>
    <col min="11312" max="11312" width="33.28515625" style="53" customWidth="1"/>
    <col min="11313" max="11316" width="0" style="53" hidden="1" customWidth="1"/>
    <col min="11317" max="11317" width="31.42578125" style="53" customWidth="1"/>
    <col min="11318" max="11319" width="0" style="53" hidden="1" customWidth="1"/>
    <col min="11320" max="11320" width="29.42578125" style="53" customWidth="1"/>
    <col min="11321" max="11322" width="0" style="53" hidden="1" customWidth="1"/>
    <col min="11323" max="11323" width="30.7109375" style="53" customWidth="1"/>
    <col min="11324" max="11520" width="13" style="53"/>
    <col min="11521" max="11523" width="0" style="53" hidden="1" customWidth="1"/>
    <col min="11524" max="11524" width="13.7109375" style="53" customWidth="1"/>
    <col min="11525" max="11528" width="0" style="53" hidden="1" customWidth="1"/>
    <col min="11529" max="11529" width="46.5703125" style="53" customWidth="1"/>
    <col min="11530" max="11530" width="32.7109375" style="53" customWidth="1"/>
    <col min="11531" max="11531" width="32.85546875" style="53" customWidth="1"/>
    <col min="11532" max="11532" width="31.5703125" style="53" customWidth="1"/>
    <col min="11533" max="11533" width="32.140625" style="53" customWidth="1"/>
    <col min="11534" max="11534" width="29" style="53" customWidth="1"/>
    <col min="11535" max="11535" width="32" style="53" customWidth="1"/>
    <col min="11536" max="11536" width="28.140625" style="53" bestFit="1" customWidth="1"/>
    <col min="11537" max="11537" width="23" style="53" bestFit="1" customWidth="1"/>
    <col min="11538" max="11538" width="43.85546875" style="53" bestFit="1" customWidth="1"/>
    <col min="11539" max="11540" width="0" style="53" hidden="1" customWidth="1"/>
    <col min="11541" max="11541" width="25" style="53" bestFit="1" customWidth="1"/>
    <col min="11542" max="11542" width="26.42578125" style="53" customWidth="1"/>
    <col min="11543" max="11543" width="41.5703125" style="53" bestFit="1" customWidth="1"/>
    <col min="11544" max="11544" width="25" style="53" bestFit="1" customWidth="1"/>
    <col min="11545" max="11545" width="49.28515625" style="53" bestFit="1" customWidth="1"/>
    <col min="11546" max="11555" width="0" style="53" hidden="1" customWidth="1"/>
    <col min="11556" max="11556" width="33.28515625" style="53" bestFit="1" customWidth="1"/>
    <col min="11557" max="11558" width="23.85546875" style="53" customWidth="1"/>
    <col min="11559" max="11560" width="29.42578125" style="53" customWidth="1"/>
    <col min="11561" max="11561" width="33.85546875" style="53" customWidth="1"/>
    <col min="11562" max="11562" width="30.140625" style="53" customWidth="1"/>
    <col min="11563" max="11567" width="0" style="53" hidden="1" customWidth="1"/>
    <col min="11568" max="11568" width="33.28515625" style="53" customWidth="1"/>
    <col min="11569" max="11572" width="0" style="53" hidden="1" customWidth="1"/>
    <col min="11573" max="11573" width="31.42578125" style="53" customWidth="1"/>
    <col min="11574" max="11575" width="0" style="53" hidden="1" customWidth="1"/>
    <col min="11576" max="11576" width="29.42578125" style="53" customWidth="1"/>
    <col min="11577" max="11578" width="0" style="53" hidden="1" customWidth="1"/>
    <col min="11579" max="11579" width="30.7109375" style="53" customWidth="1"/>
    <col min="11580" max="11776" width="13" style="53"/>
    <col min="11777" max="11779" width="0" style="53" hidden="1" customWidth="1"/>
    <col min="11780" max="11780" width="13.7109375" style="53" customWidth="1"/>
    <col min="11781" max="11784" width="0" style="53" hidden="1" customWidth="1"/>
    <col min="11785" max="11785" width="46.5703125" style="53" customWidth="1"/>
    <col min="11786" max="11786" width="32.7109375" style="53" customWidth="1"/>
    <col min="11787" max="11787" width="32.85546875" style="53" customWidth="1"/>
    <col min="11788" max="11788" width="31.5703125" style="53" customWidth="1"/>
    <col min="11789" max="11789" width="32.140625" style="53" customWidth="1"/>
    <col min="11790" max="11790" width="29" style="53" customWidth="1"/>
    <col min="11791" max="11791" width="32" style="53" customWidth="1"/>
    <col min="11792" max="11792" width="28.140625" style="53" bestFit="1" customWidth="1"/>
    <col min="11793" max="11793" width="23" style="53" bestFit="1" customWidth="1"/>
    <col min="11794" max="11794" width="43.85546875" style="53" bestFit="1" customWidth="1"/>
    <col min="11795" max="11796" width="0" style="53" hidden="1" customWidth="1"/>
    <col min="11797" max="11797" width="25" style="53" bestFit="1" customWidth="1"/>
    <col min="11798" max="11798" width="26.42578125" style="53" customWidth="1"/>
    <col min="11799" max="11799" width="41.5703125" style="53" bestFit="1" customWidth="1"/>
    <col min="11800" max="11800" width="25" style="53" bestFit="1" customWidth="1"/>
    <col min="11801" max="11801" width="49.28515625" style="53" bestFit="1" customWidth="1"/>
    <col min="11802" max="11811" width="0" style="53" hidden="1" customWidth="1"/>
    <col min="11812" max="11812" width="33.28515625" style="53" bestFit="1" customWidth="1"/>
    <col min="11813" max="11814" width="23.85546875" style="53" customWidth="1"/>
    <col min="11815" max="11816" width="29.42578125" style="53" customWidth="1"/>
    <col min="11817" max="11817" width="33.85546875" style="53" customWidth="1"/>
    <col min="11818" max="11818" width="30.140625" style="53" customWidth="1"/>
    <col min="11819" max="11823" width="0" style="53" hidden="1" customWidth="1"/>
    <col min="11824" max="11824" width="33.28515625" style="53" customWidth="1"/>
    <col min="11825" max="11828" width="0" style="53" hidden="1" customWidth="1"/>
    <col min="11829" max="11829" width="31.42578125" style="53" customWidth="1"/>
    <col min="11830" max="11831" width="0" style="53" hidden="1" customWidth="1"/>
    <col min="11832" max="11832" width="29.42578125" style="53" customWidth="1"/>
    <col min="11833" max="11834" width="0" style="53" hidden="1" customWidth="1"/>
    <col min="11835" max="11835" width="30.7109375" style="53" customWidth="1"/>
    <col min="11836" max="12032" width="13" style="53"/>
    <col min="12033" max="12035" width="0" style="53" hidden="1" customWidth="1"/>
    <col min="12036" max="12036" width="13.7109375" style="53" customWidth="1"/>
    <col min="12037" max="12040" width="0" style="53" hidden="1" customWidth="1"/>
    <col min="12041" max="12041" width="46.5703125" style="53" customWidth="1"/>
    <col min="12042" max="12042" width="32.7109375" style="53" customWidth="1"/>
    <col min="12043" max="12043" width="32.85546875" style="53" customWidth="1"/>
    <col min="12044" max="12044" width="31.5703125" style="53" customWidth="1"/>
    <col min="12045" max="12045" width="32.140625" style="53" customWidth="1"/>
    <col min="12046" max="12046" width="29" style="53" customWidth="1"/>
    <col min="12047" max="12047" width="32" style="53" customWidth="1"/>
    <col min="12048" max="12048" width="28.140625" style="53" bestFit="1" customWidth="1"/>
    <col min="12049" max="12049" width="23" style="53" bestFit="1" customWidth="1"/>
    <col min="12050" max="12050" width="43.85546875" style="53" bestFit="1" customWidth="1"/>
    <col min="12051" max="12052" width="0" style="53" hidden="1" customWidth="1"/>
    <col min="12053" max="12053" width="25" style="53" bestFit="1" customWidth="1"/>
    <col min="12054" max="12054" width="26.42578125" style="53" customWidth="1"/>
    <col min="12055" max="12055" width="41.5703125" style="53" bestFit="1" customWidth="1"/>
    <col min="12056" max="12056" width="25" style="53" bestFit="1" customWidth="1"/>
    <col min="12057" max="12057" width="49.28515625" style="53" bestFit="1" customWidth="1"/>
    <col min="12058" max="12067" width="0" style="53" hidden="1" customWidth="1"/>
    <col min="12068" max="12068" width="33.28515625" style="53" bestFit="1" customWidth="1"/>
    <col min="12069" max="12070" width="23.85546875" style="53" customWidth="1"/>
    <col min="12071" max="12072" width="29.42578125" style="53" customWidth="1"/>
    <col min="12073" max="12073" width="33.85546875" style="53" customWidth="1"/>
    <col min="12074" max="12074" width="30.140625" style="53" customWidth="1"/>
    <col min="12075" max="12079" width="0" style="53" hidden="1" customWidth="1"/>
    <col min="12080" max="12080" width="33.28515625" style="53" customWidth="1"/>
    <col min="12081" max="12084" width="0" style="53" hidden="1" customWidth="1"/>
    <col min="12085" max="12085" width="31.42578125" style="53" customWidth="1"/>
    <col min="12086" max="12087" width="0" style="53" hidden="1" customWidth="1"/>
    <col min="12088" max="12088" width="29.42578125" style="53" customWidth="1"/>
    <col min="12089" max="12090" width="0" style="53" hidden="1" customWidth="1"/>
    <col min="12091" max="12091" width="30.7109375" style="53" customWidth="1"/>
    <col min="12092" max="12288" width="13" style="53"/>
    <col min="12289" max="12291" width="0" style="53" hidden="1" customWidth="1"/>
    <col min="12292" max="12292" width="13.7109375" style="53" customWidth="1"/>
    <col min="12293" max="12296" width="0" style="53" hidden="1" customWidth="1"/>
    <col min="12297" max="12297" width="46.5703125" style="53" customWidth="1"/>
    <col min="12298" max="12298" width="32.7109375" style="53" customWidth="1"/>
    <col min="12299" max="12299" width="32.85546875" style="53" customWidth="1"/>
    <col min="12300" max="12300" width="31.5703125" style="53" customWidth="1"/>
    <col min="12301" max="12301" width="32.140625" style="53" customWidth="1"/>
    <col min="12302" max="12302" width="29" style="53" customWidth="1"/>
    <col min="12303" max="12303" width="32" style="53" customWidth="1"/>
    <col min="12304" max="12304" width="28.140625" style="53" bestFit="1" customWidth="1"/>
    <col min="12305" max="12305" width="23" style="53" bestFit="1" customWidth="1"/>
    <col min="12306" max="12306" width="43.85546875" style="53" bestFit="1" customWidth="1"/>
    <col min="12307" max="12308" width="0" style="53" hidden="1" customWidth="1"/>
    <col min="12309" max="12309" width="25" style="53" bestFit="1" customWidth="1"/>
    <col min="12310" max="12310" width="26.42578125" style="53" customWidth="1"/>
    <col min="12311" max="12311" width="41.5703125" style="53" bestFit="1" customWidth="1"/>
    <col min="12312" max="12312" width="25" style="53" bestFit="1" customWidth="1"/>
    <col min="12313" max="12313" width="49.28515625" style="53" bestFit="1" customWidth="1"/>
    <col min="12314" max="12323" width="0" style="53" hidden="1" customWidth="1"/>
    <col min="12324" max="12324" width="33.28515625" style="53" bestFit="1" customWidth="1"/>
    <col min="12325" max="12326" width="23.85546875" style="53" customWidth="1"/>
    <col min="12327" max="12328" width="29.42578125" style="53" customWidth="1"/>
    <col min="12329" max="12329" width="33.85546875" style="53" customWidth="1"/>
    <col min="12330" max="12330" width="30.140625" style="53" customWidth="1"/>
    <col min="12331" max="12335" width="0" style="53" hidden="1" customWidth="1"/>
    <col min="12336" max="12336" width="33.28515625" style="53" customWidth="1"/>
    <col min="12337" max="12340" width="0" style="53" hidden="1" customWidth="1"/>
    <col min="12341" max="12341" width="31.42578125" style="53" customWidth="1"/>
    <col min="12342" max="12343" width="0" style="53" hidden="1" customWidth="1"/>
    <col min="12344" max="12344" width="29.42578125" style="53" customWidth="1"/>
    <col min="12345" max="12346" width="0" style="53" hidden="1" customWidth="1"/>
    <col min="12347" max="12347" width="30.7109375" style="53" customWidth="1"/>
    <col min="12348" max="12544" width="13" style="53"/>
    <col min="12545" max="12547" width="0" style="53" hidden="1" customWidth="1"/>
    <col min="12548" max="12548" width="13.7109375" style="53" customWidth="1"/>
    <col min="12549" max="12552" width="0" style="53" hidden="1" customWidth="1"/>
    <col min="12553" max="12553" width="46.5703125" style="53" customWidth="1"/>
    <col min="12554" max="12554" width="32.7109375" style="53" customWidth="1"/>
    <col min="12555" max="12555" width="32.85546875" style="53" customWidth="1"/>
    <col min="12556" max="12556" width="31.5703125" style="53" customWidth="1"/>
    <col min="12557" max="12557" width="32.140625" style="53" customWidth="1"/>
    <col min="12558" max="12558" width="29" style="53" customWidth="1"/>
    <col min="12559" max="12559" width="32" style="53" customWidth="1"/>
    <col min="12560" max="12560" width="28.140625" style="53" bestFit="1" customWidth="1"/>
    <col min="12561" max="12561" width="23" style="53" bestFit="1" customWidth="1"/>
    <col min="12562" max="12562" width="43.85546875" style="53" bestFit="1" customWidth="1"/>
    <col min="12563" max="12564" width="0" style="53" hidden="1" customWidth="1"/>
    <col min="12565" max="12565" width="25" style="53" bestFit="1" customWidth="1"/>
    <col min="12566" max="12566" width="26.42578125" style="53" customWidth="1"/>
    <col min="12567" max="12567" width="41.5703125" style="53" bestFit="1" customWidth="1"/>
    <col min="12568" max="12568" width="25" style="53" bestFit="1" customWidth="1"/>
    <col min="12569" max="12569" width="49.28515625" style="53" bestFit="1" customWidth="1"/>
    <col min="12570" max="12579" width="0" style="53" hidden="1" customWidth="1"/>
    <col min="12580" max="12580" width="33.28515625" style="53" bestFit="1" customWidth="1"/>
    <col min="12581" max="12582" width="23.85546875" style="53" customWidth="1"/>
    <col min="12583" max="12584" width="29.42578125" style="53" customWidth="1"/>
    <col min="12585" max="12585" width="33.85546875" style="53" customWidth="1"/>
    <col min="12586" max="12586" width="30.140625" style="53" customWidth="1"/>
    <col min="12587" max="12591" width="0" style="53" hidden="1" customWidth="1"/>
    <col min="12592" max="12592" width="33.28515625" style="53" customWidth="1"/>
    <col min="12593" max="12596" width="0" style="53" hidden="1" customWidth="1"/>
    <col min="12597" max="12597" width="31.42578125" style="53" customWidth="1"/>
    <col min="12598" max="12599" width="0" style="53" hidden="1" customWidth="1"/>
    <col min="12600" max="12600" width="29.42578125" style="53" customWidth="1"/>
    <col min="12601" max="12602" width="0" style="53" hidden="1" customWidth="1"/>
    <col min="12603" max="12603" width="30.7109375" style="53" customWidth="1"/>
    <col min="12604" max="12800" width="13" style="53"/>
    <col min="12801" max="12803" width="0" style="53" hidden="1" customWidth="1"/>
    <col min="12804" max="12804" width="13.7109375" style="53" customWidth="1"/>
    <col min="12805" max="12808" width="0" style="53" hidden="1" customWidth="1"/>
    <col min="12809" max="12809" width="46.5703125" style="53" customWidth="1"/>
    <col min="12810" max="12810" width="32.7109375" style="53" customWidth="1"/>
    <col min="12811" max="12811" width="32.85546875" style="53" customWidth="1"/>
    <col min="12812" max="12812" width="31.5703125" style="53" customWidth="1"/>
    <col min="12813" max="12813" width="32.140625" style="53" customWidth="1"/>
    <col min="12814" max="12814" width="29" style="53" customWidth="1"/>
    <col min="12815" max="12815" width="32" style="53" customWidth="1"/>
    <col min="12816" max="12816" width="28.140625" style="53" bestFit="1" customWidth="1"/>
    <col min="12817" max="12817" width="23" style="53" bestFit="1" customWidth="1"/>
    <col min="12818" max="12818" width="43.85546875" style="53" bestFit="1" customWidth="1"/>
    <col min="12819" max="12820" width="0" style="53" hidden="1" customWidth="1"/>
    <col min="12821" max="12821" width="25" style="53" bestFit="1" customWidth="1"/>
    <col min="12822" max="12822" width="26.42578125" style="53" customWidth="1"/>
    <col min="12823" max="12823" width="41.5703125" style="53" bestFit="1" customWidth="1"/>
    <col min="12824" max="12824" width="25" style="53" bestFit="1" customWidth="1"/>
    <col min="12825" max="12825" width="49.28515625" style="53" bestFit="1" customWidth="1"/>
    <col min="12826" max="12835" width="0" style="53" hidden="1" customWidth="1"/>
    <col min="12836" max="12836" width="33.28515625" style="53" bestFit="1" customWidth="1"/>
    <col min="12837" max="12838" width="23.85546875" style="53" customWidth="1"/>
    <col min="12839" max="12840" width="29.42578125" style="53" customWidth="1"/>
    <col min="12841" max="12841" width="33.85546875" style="53" customWidth="1"/>
    <col min="12842" max="12842" width="30.140625" style="53" customWidth="1"/>
    <col min="12843" max="12847" width="0" style="53" hidden="1" customWidth="1"/>
    <col min="12848" max="12848" width="33.28515625" style="53" customWidth="1"/>
    <col min="12849" max="12852" width="0" style="53" hidden="1" customWidth="1"/>
    <col min="12853" max="12853" width="31.42578125" style="53" customWidth="1"/>
    <col min="12854" max="12855" width="0" style="53" hidden="1" customWidth="1"/>
    <col min="12856" max="12856" width="29.42578125" style="53" customWidth="1"/>
    <col min="12857" max="12858" width="0" style="53" hidden="1" customWidth="1"/>
    <col min="12859" max="12859" width="30.7109375" style="53" customWidth="1"/>
    <col min="12860" max="13056" width="13" style="53"/>
    <col min="13057" max="13059" width="0" style="53" hidden="1" customWidth="1"/>
    <col min="13060" max="13060" width="13.7109375" style="53" customWidth="1"/>
    <col min="13061" max="13064" width="0" style="53" hidden="1" customWidth="1"/>
    <col min="13065" max="13065" width="46.5703125" style="53" customWidth="1"/>
    <col min="13066" max="13066" width="32.7109375" style="53" customWidth="1"/>
    <col min="13067" max="13067" width="32.85546875" style="53" customWidth="1"/>
    <col min="13068" max="13068" width="31.5703125" style="53" customWidth="1"/>
    <col min="13069" max="13069" width="32.140625" style="53" customWidth="1"/>
    <col min="13070" max="13070" width="29" style="53" customWidth="1"/>
    <col min="13071" max="13071" width="32" style="53" customWidth="1"/>
    <col min="13072" max="13072" width="28.140625" style="53" bestFit="1" customWidth="1"/>
    <col min="13073" max="13073" width="23" style="53" bestFit="1" customWidth="1"/>
    <col min="13074" max="13074" width="43.85546875" style="53" bestFit="1" customWidth="1"/>
    <col min="13075" max="13076" width="0" style="53" hidden="1" customWidth="1"/>
    <col min="13077" max="13077" width="25" style="53" bestFit="1" customWidth="1"/>
    <col min="13078" max="13078" width="26.42578125" style="53" customWidth="1"/>
    <col min="13079" max="13079" width="41.5703125" style="53" bestFit="1" customWidth="1"/>
    <col min="13080" max="13080" width="25" style="53" bestFit="1" customWidth="1"/>
    <col min="13081" max="13081" width="49.28515625" style="53" bestFit="1" customWidth="1"/>
    <col min="13082" max="13091" width="0" style="53" hidden="1" customWidth="1"/>
    <col min="13092" max="13092" width="33.28515625" style="53" bestFit="1" customWidth="1"/>
    <col min="13093" max="13094" width="23.85546875" style="53" customWidth="1"/>
    <col min="13095" max="13096" width="29.42578125" style="53" customWidth="1"/>
    <col min="13097" max="13097" width="33.85546875" style="53" customWidth="1"/>
    <col min="13098" max="13098" width="30.140625" style="53" customWidth="1"/>
    <col min="13099" max="13103" width="0" style="53" hidden="1" customWidth="1"/>
    <col min="13104" max="13104" width="33.28515625" style="53" customWidth="1"/>
    <col min="13105" max="13108" width="0" style="53" hidden="1" customWidth="1"/>
    <col min="13109" max="13109" width="31.42578125" style="53" customWidth="1"/>
    <col min="13110" max="13111" width="0" style="53" hidden="1" customWidth="1"/>
    <col min="13112" max="13112" width="29.42578125" style="53" customWidth="1"/>
    <col min="13113" max="13114" width="0" style="53" hidden="1" customWidth="1"/>
    <col min="13115" max="13115" width="30.7109375" style="53" customWidth="1"/>
    <col min="13116" max="13312" width="13" style="53"/>
    <col min="13313" max="13315" width="0" style="53" hidden="1" customWidth="1"/>
    <col min="13316" max="13316" width="13.7109375" style="53" customWidth="1"/>
    <col min="13317" max="13320" width="0" style="53" hidden="1" customWidth="1"/>
    <col min="13321" max="13321" width="46.5703125" style="53" customWidth="1"/>
    <col min="13322" max="13322" width="32.7109375" style="53" customWidth="1"/>
    <col min="13323" max="13323" width="32.85546875" style="53" customWidth="1"/>
    <col min="13324" max="13324" width="31.5703125" style="53" customWidth="1"/>
    <col min="13325" max="13325" width="32.140625" style="53" customWidth="1"/>
    <col min="13326" max="13326" width="29" style="53" customWidth="1"/>
    <col min="13327" max="13327" width="32" style="53" customWidth="1"/>
    <col min="13328" max="13328" width="28.140625" style="53" bestFit="1" customWidth="1"/>
    <col min="13329" max="13329" width="23" style="53" bestFit="1" customWidth="1"/>
    <col min="13330" max="13330" width="43.85546875" style="53" bestFit="1" customWidth="1"/>
    <col min="13331" max="13332" width="0" style="53" hidden="1" customWidth="1"/>
    <col min="13333" max="13333" width="25" style="53" bestFit="1" customWidth="1"/>
    <col min="13334" max="13334" width="26.42578125" style="53" customWidth="1"/>
    <col min="13335" max="13335" width="41.5703125" style="53" bestFit="1" customWidth="1"/>
    <col min="13336" max="13336" width="25" style="53" bestFit="1" customWidth="1"/>
    <col min="13337" max="13337" width="49.28515625" style="53" bestFit="1" customWidth="1"/>
    <col min="13338" max="13347" width="0" style="53" hidden="1" customWidth="1"/>
    <col min="13348" max="13348" width="33.28515625" style="53" bestFit="1" customWidth="1"/>
    <col min="13349" max="13350" width="23.85546875" style="53" customWidth="1"/>
    <col min="13351" max="13352" width="29.42578125" style="53" customWidth="1"/>
    <col min="13353" max="13353" width="33.85546875" style="53" customWidth="1"/>
    <col min="13354" max="13354" width="30.140625" style="53" customWidth="1"/>
    <col min="13355" max="13359" width="0" style="53" hidden="1" customWidth="1"/>
    <col min="13360" max="13360" width="33.28515625" style="53" customWidth="1"/>
    <col min="13361" max="13364" width="0" style="53" hidden="1" customWidth="1"/>
    <col min="13365" max="13365" width="31.42578125" style="53" customWidth="1"/>
    <col min="13366" max="13367" width="0" style="53" hidden="1" customWidth="1"/>
    <col min="13368" max="13368" width="29.42578125" style="53" customWidth="1"/>
    <col min="13369" max="13370" width="0" style="53" hidden="1" customWidth="1"/>
    <col min="13371" max="13371" width="30.7109375" style="53" customWidth="1"/>
    <col min="13372" max="13568" width="13" style="53"/>
    <col min="13569" max="13571" width="0" style="53" hidden="1" customWidth="1"/>
    <col min="13572" max="13572" width="13.7109375" style="53" customWidth="1"/>
    <col min="13573" max="13576" width="0" style="53" hidden="1" customWidth="1"/>
    <col min="13577" max="13577" width="46.5703125" style="53" customWidth="1"/>
    <col min="13578" max="13578" width="32.7109375" style="53" customWidth="1"/>
    <col min="13579" max="13579" width="32.85546875" style="53" customWidth="1"/>
    <col min="13580" max="13580" width="31.5703125" style="53" customWidth="1"/>
    <col min="13581" max="13581" width="32.140625" style="53" customWidth="1"/>
    <col min="13582" max="13582" width="29" style="53" customWidth="1"/>
    <col min="13583" max="13583" width="32" style="53" customWidth="1"/>
    <col min="13584" max="13584" width="28.140625" style="53" bestFit="1" customWidth="1"/>
    <col min="13585" max="13585" width="23" style="53" bestFit="1" customWidth="1"/>
    <col min="13586" max="13586" width="43.85546875" style="53" bestFit="1" customWidth="1"/>
    <col min="13587" max="13588" width="0" style="53" hidden="1" customWidth="1"/>
    <col min="13589" max="13589" width="25" style="53" bestFit="1" customWidth="1"/>
    <col min="13590" max="13590" width="26.42578125" style="53" customWidth="1"/>
    <col min="13591" max="13591" width="41.5703125" style="53" bestFit="1" customWidth="1"/>
    <col min="13592" max="13592" width="25" style="53" bestFit="1" customWidth="1"/>
    <col min="13593" max="13593" width="49.28515625" style="53" bestFit="1" customWidth="1"/>
    <col min="13594" max="13603" width="0" style="53" hidden="1" customWidth="1"/>
    <col min="13604" max="13604" width="33.28515625" style="53" bestFit="1" customWidth="1"/>
    <col min="13605" max="13606" width="23.85546875" style="53" customWidth="1"/>
    <col min="13607" max="13608" width="29.42578125" style="53" customWidth="1"/>
    <col min="13609" max="13609" width="33.85546875" style="53" customWidth="1"/>
    <col min="13610" max="13610" width="30.140625" style="53" customWidth="1"/>
    <col min="13611" max="13615" width="0" style="53" hidden="1" customWidth="1"/>
    <col min="13616" max="13616" width="33.28515625" style="53" customWidth="1"/>
    <col min="13617" max="13620" width="0" style="53" hidden="1" customWidth="1"/>
    <col min="13621" max="13621" width="31.42578125" style="53" customWidth="1"/>
    <col min="13622" max="13623" width="0" style="53" hidden="1" customWidth="1"/>
    <col min="13624" max="13624" width="29.42578125" style="53" customWidth="1"/>
    <col min="13625" max="13626" width="0" style="53" hidden="1" customWidth="1"/>
    <col min="13627" max="13627" width="30.7109375" style="53" customWidth="1"/>
    <col min="13628" max="13824" width="13" style="53"/>
    <col min="13825" max="13827" width="0" style="53" hidden="1" customWidth="1"/>
    <col min="13828" max="13828" width="13.7109375" style="53" customWidth="1"/>
    <col min="13829" max="13832" width="0" style="53" hidden="1" customWidth="1"/>
    <col min="13833" max="13833" width="46.5703125" style="53" customWidth="1"/>
    <col min="13834" max="13834" width="32.7109375" style="53" customWidth="1"/>
    <col min="13835" max="13835" width="32.85546875" style="53" customWidth="1"/>
    <col min="13836" max="13836" width="31.5703125" style="53" customWidth="1"/>
    <col min="13837" max="13837" width="32.140625" style="53" customWidth="1"/>
    <col min="13838" max="13838" width="29" style="53" customWidth="1"/>
    <col min="13839" max="13839" width="32" style="53" customWidth="1"/>
    <col min="13840" max="13840" width="28.140625" style="53" bestFit="1" customWidth="1"/>
    <col min="13841" max="13841" width="23" style="53" bestFit="1" customWidth="1"/>
    <col min="13842" max="13842" width="43.85546875" style="53" bestFit="1" customWidth="1"/>
    <col min="13843" max="13844" width="0" style="53" hidden="1" customWidth="1"/>
    <col min="13845" max="13845" width="25" style="53" bestFit="1" customWidth="1"/>
    <col min="13846" max="13846" width="26.42578125" style="53" customWidth="1"/>
    <col min="13847" max="13847" width="41.5703125" style="53" bestFit="1" customWidth="1"/>
    <col min="13848" max="13848" width="25" style="53" bestFit="1" customWidth="1"/>
    <col min="13849" max="13849" width="49.28515625" style="53" bestFit="1" customWidth="1"/>
    <col min="13850" max="13859" width="0" style="53" hidden="1" customWidth="1"/>
    <col min="13860" max="13860" width="33.28515625" style="53" bestFit="1" customWidth="1"/>
    <col min="13861" max="13862" width="23.85546875" style="53" customWidth="1"/>
    <col min="13863" max="13864" width="29.42578125" style="53" customWidth="1"/>
    <col min="13865" max="13865" width="33.85546875" style="53" customWidth="1"/>
    <col min="13866" max="13866" width="30.140625" style="53" customWidth="1"/>
    <col min="13867" max="13871" width="0" style="53" hidden="1" customWidth="1"/>
    <col min="13872" max="13872" width="33.28515625" style="53" customWidth="1"/>
    <col min="13873" max="13876" width="0" style="53" hidden="1" customWidth="1"/>
    <col min="13877" max="13877" width="31.42578125" style="53" customWidth="1"/>
    <col min="13878" max="13879" width="0" style="53" hidden="1" customWidth="1"/>
    <col min="13880" max="13880" width="29.42578125" style="53" customWidth="1"/>
    <col min="13881" max="13882" width="0" style="53" hidden="1" customWidth="1"/>
    <col min="13883" max="13883" width="30.7109375" style="53" customWidth="1"/>
    <col min="13884" max="14080" width="13" style="53"/>
    <col min="14081" max="14083" width="0" style="53" hidden="1" customWidth="1"/>
    <col min="14084" max="14084" width="13.7109375" style="53" customWidth="1"/>
    <col min="14085" max="14088" width="0" style="53" hidden="1" customWidth="1"/>
    <col min="14089" max="14089" width="46.5703125" style="53" customWidth="1"/>
    <col min="14090" max="14090" width="32.7109375" style="53" customWidth="1"/>
    <col min="14091" max="14091" width="32.85546875" style="53" customWidth="1"/>
    <col min="14092" max="14092" width="31.5703125" style="53" customWidth="1"/>
    <col min="14093" max="14093" width="32.140625" style="53" customWidth="1"/>
    <col min="14094" max="14094" width="29" style="53" customWidth="1"/>
    <col min="14095" max="14095" width="32" style="53" customWidth="1"/>
    <col min="14096" max="14096" width="28.140625" style="53" bestFit="1" customWidth="1"/>
    <col min="14097" max="14097" width="23" style="53" bestFit="1" customWidth="1"/>
    <col min="14098" max="14098" width="43.85546875" style="53" bestFit="1" customWidth="1"/>
    <col min="14099" max="14100" width="0" style="53" hidden="1" customWidth="1"/>
    <col min="14101" max="14101" width="25" style="53" bestFit="1" customWidth="1"/>
    <col min="14102" max="14102" width="26.42578125" style="53" customWidth="1"/>
    <col min="14103" max="14103" width="41.5703125" style="53" bestFit="1" customWidth="1"/>
    <col min="14104" max="14104" width="25" style="53" bestFit="1" customWidth="1"/>
    <col min="14105" max="14105" width="49.28515625" style="53" bestFit="1" customWidth="1"/>
    <col min="14106" max="14115" width="0" style="53" hidden="1" customWidth="1"/>
    <col min="14116" max="14116" width="33.28515625" style="53" bestFit="1" customWidth="1"/>
    <col min="14117" max="14118" width="23.85546875" style="53" customWidth="1"/>
    <col min="14119" max="14120" width="29.42578125" style="53" customWidth="1"/>
    <col min="14121" max="14121" width="33.85546875" style="53" customWidth="1"/>
    <col min="14122" max="14122" width="30.140625" style="53" customWidth="1"/>
    <col min="14123" max="14127" width="0" style="53" hidden="1" customWidth="1"/>
    <col min="14128" max="14128" width="33.28515625" style="53" customWidth="1"/>
    <col min="14129" max="14132" width="0" style="53" hidden="1" customWidth="1"/>
    <col min="14133" max="14133" width="31.42578125" style="53" customWidth="1"/>
    <col min="14134" max="14135" width="0" style="53" hidden="1" customWidth="1"/>
    <col min="14136" max="14136" width="29.42578125" style="53" customWidth="1"/>
    <col min="14137" max="14138" width="0" style="53" hidden="1" customWidth="1"/>
    <col min="14139" max="14139" width="30.7109375" style="53" customWidth="1"/>
    <col min="14140" max="14336" width="13" style="53"/>
    <col min="14337" max="14339" width="0" style="53" hidden="1" customWidth="1"/>
    <col min="14340" max="14340" width="13.7109375" style="53" customWidth="1"/>
    <col min="14341" max="14344" width="0" style="53" hidden="1" customWidth="1"/>
    <col min="14345" max="14345" width="46.5703125" style="53" customWidth="1"/>
    <col min="14346" max="14346" width="32.7109375" style="53" customWidth="1"/>
    <col min="14347" max="14347" width="32.85546875" style="53" customWidth="1"/>
    <col min="14348" max="14348" width="31.5703125" style="53" customWidth="1"/>
    <col min="14349" max="14349" width="32.140625" style="53" customWidth="1"/>
    <col min="14350" max="14350" width="29" style="53" customWidth="1"/>
    <col min="14351" max="14351" width="32" style="53" customWidth="1"/>
    <col min="14352" max="14352" width="28.140625" style="53" bestFit="1" customWidth="1"/>
    <col min="14353" max="14353" width="23" style="53" bestFit="1" customWidth="1"/>
    <col min="14354" max="14354" width="43.85546875" style="53" bestFit="1" customWidth="1"/>
    <col min="14355" max="14356" width="0" style="53" hidden="1" customWidth="1"/>
    <col min="14357" max="14357" width="25" style="53" bestFit="1" customWidth="1"/>
    <col min="14358" max="14358" width="26.42578125" style="53" customWidth="1"/>
    <col min="14359" max="14359" width="41.5703125" style="53" bestFit="1" customWidth="1"/>
    <col min="14360" max="14360" width="25" style="53" bestFit="1" customWidth="1"/>
    <col min="14361" max="14361" width="49.28515625" style="53" bestFit="1" customWidth="1"/>
    <col min="14362" max="14371" width="0" style="53" hidden="1" customWidth="1"/>
    <col min="14372" max="14372" width="33.28515625" style="53" bestFit="1" customWidth="1"/>
    <col min="14373" max="14374" width="23.85546875" style="53" customWidth="1"/>
    <col min="14375" max="14376" width="29.42578125" style="53" customWidth="1"/>
    <col min="14377" max="14377" width="33.85546875" style="53" customWidth="1"/>
    <col min="14378" max="14378" width="30.140625" style="53" customWidth="1"/>
    <col min="14379" max="14383" width="0" style="53" hidden="1" customWidth="1"/>
    <col min="14384" max="14384" width="33.28515625" style="53" customWidth="1"/>
    <col min="14385" max="14388" width="0" style="53" hidden="1" customWidth="1"/>
    <col min="14389" max="14389" width="31.42578125" style="53" customWidth="1"/>
    <col min="14390" max="14391" width="0" style="53" hidden="1" customWidth="1"/>
    <col min="14392" max="14392" width="29.42578125" style="53" customWidth="1"/>
    <col min="14393" max="14394" width="0" style="53" hidden="1" customWidth="1"/>
    <col min="14395" max="14395" width="30.7109375" style="53" customWidth="1"/>
    <col min="14396" max="14592" width="13" style="53"/>
    <col min="14593" max="14595" width="0" style="53" hidden="1" customWidth="1"/>
    <col min="14596" max="14596" width="13.7109375" style="53" customWidth="1"/>
    <col min="14597" max="14600" width="0" style="53" hidden="1" customWidth="1"/>
    <col min="14601" max="14601" width="46.5703125" style="53" customWidth="1"/>
    <col min="14602" max="14602" width="32.7109375" style="53" customWidth="1"/>
    <col min="14603" max="14603" width="32.85546875" style="53" customWidth="1"/>
    <col min="14604" max="14604" width="31.5703125" style="53" customWidth="1"/>
    <col min="14605" max="14605" width="32.140625" style="53" customWidth="1"/>
    <col min="14606" max="14606" width="29" style="53" customWidth="1"/>
    <col min="14607" max="14607" width="32" style="53" customWidth="1"/>
    <col min="14608" max="14608" width="28.140625" style="53" bestFit="1" customWidth="1"/>
    <col min="14609" max="14609" width="23" style="53" bestFit="1" customWidth="1"/>
    <col min="14610" max="14610" width="43.85546875" style="53" bestFit="1" customWidth="1"/>
    <col min="14611" max="14612" width="0" style="53" hidden="1" customWidth="1"/>
    <col min="14613" max="14613" width="25" style="53" bestFit="1" customWidth="1"/>
    <col min="14614" max="14614" width="26.42578125" style="53" customWidth="1"/>
    <col min="14615" max="14615" width="41.5703125" style="53" bestFit="1" customWidth="1"/>
    <col min="14616" max="14616" width="25" style="53" bestFit="1" customWidth="1"/>
    <col min="14617" max="14617" width="49.28515625" style="53" bestFit="1" customWidth="1"/>
    <col min="14618" max="14627" width="0" style="53" hidden="1" customWidth="1"/>
    <col min="14628" max="14628" width="33.28515625" style="53" bestFit="1" customWidth="1"/>
    <col min="14629" max="14630" width="23.85546875" style="53" customWidth="1"/>
    <col min="14631" max="14632" width="29.42578125" style="53" customWidth="1"/>
    <col min="14633" max="14633" width="33.85546875" style="53" customWidth="1"/>
    <col min="14634" max="14634" width="30.140625" style="53" customWidth="1"/>
    <col min="14635" max="14639" width="0" style="53" hidden="1" customWidth="1"/>
    <col min="14640" max="14640" width="33.28515625" style="53" customWidth="1"/>
    <col min="14641" max="14644" width="0" style="53" hidden="1" customWidth="1"/>
    <col min="14645" max="14645" width="31.42578125" style="53" customWidth="1"/>
    <col min="14646" max="14647" width="0" style="53" hidden="1" customWidth="1"/>
    <col min="14648" max="14648" width="29.42578125" style="53" customWidth="1"/>
    <col min="14649" max="14650" width="0" style="53" hidden="1" customWidth="1"/>
    <col min="14651" max="14651" width="30.7109375" style="53" customWidth="1"/>
    <col min="14652" max="14848" width="13" style="53"/>
    <col min="14849" max="14851" width="0" style="53" hidden="1" customWidth="1"/>
    <col min="14852" max="14852" width="13.7109375" style="53" customWidth="1"/>
    <col min="14853" max="14856" width="0" style="53" hidden="1" customWidth="1"/>
    <col min="14857" max="14857" width="46.5703125" style="53" customWidth="1"/>
    <col min="14858" max="14858" width="32.7109375" style="53" customWidth="1"/>
    <col min="14859" max="14859" width="32.85546875" style="53" customWidth="1"/>
    <col min="14860" max="14860" width="31.5703125" style="53" customWidth="1"/>
    <col min="14861" max="14861" width="32.140625" style="53" customWidth="1"/>
    <col min="14862" max="14862" width="29" style="53" customWidth="1"/>
    <col min="14863" max="14863" width="32" style="53" customWidth="1"/>
    <col min="14864" max="14864" width="28.140625" style="53" bestFit="1" customWidth="1"/>
    <col min="14865" max="14865" width="23" style="53" bestFit="1" customWidth="1"/>
    <col min="14866" max="14866" width="43.85546875" style="53" bestFit="1" customWidth="1"/>
    <col min="14867" max="14868" width="0" style="53" hidden="1" customWidth="1"/>
    <col min="14869" max="14869" width="25" style="53" bestFit="1" customWidth="1"/>
    <col min="14870" max="14870" width="26.42578125" style="53" customWidth="1"/>
    <col min="14871" max="14871" width="41.5703125" style="53" bestFit="1" customWidth="1"/>
    <col min="14872" max="14872" width="25" style="53" bestFit="1" customWidth="1"/>
    <col min="14873" max="14873" width="49.28515625" style="53" bestFit="1" customWidth="1"/>
    <col min="14874" max="14883" width="0" style="53" hidden="1" customWidth="1"/>
    <col min="14884" max="14884" width="33.28515625" style="53" bestFit="1" customWidth="1"/>
    <col min="14885" max="14886" width="23.85546875" style="53" customWidth="1"/>
    <col min="14887" max="14888" width="29.42578125" style="53" customWidth="1"/>
    <col min="14889" max="14889" width="33.85546875" style="53" customWidth="1"/>
    <col min="14890" max="14890" width="30.140625" style="53" customWidth="1"/>
    <col min="14891" max="14895" width="0" style="53" hidden="1" customWidth="1"/>
    <col min="14896" max="14896" width="33.28515625" style="53" customWidth="1"/>
    <col min="14897" max="14900" width="0" style="53" hidden="1" customWidth="1"/>
    <col min="14901" max="14901" width="31.42578125" style="53" customWidth="1"/>
    <col min="14902" max="14903" width="0" style="53" hidden="1" customWidth="1"/>
    <col min="14904" max="14904" width="29.42578125" style="53" customWidth="1"/>
    <col min="14905" max="14906" width="0" style="53" hidden="1" customWidth="1"/>
    <col min="14907" max="14907" width="30.7109375" style="53" customWidth="1"/>
    <col min="14908" max="15104" width="13" style="53"/>
    <col min="15105" max="15107" width="0" style="53" hidden="1" customWidth="1"/>
    <col min="15108" max="15108" width="13.7109375" style="53" customWidth="1"/>
    <col min="15109" max="15112" width="0" style="53" hidden="1" customWidth="1"/>
    <col min="15113" max="15113" width="46.5703125" style="53" customWidth="1"/>
    <col min="15114" max="15114" width="32.7109375" style="53" customWidth="1"/>
    <col min="15115" max="15115" width="32.85546875" style="53" customWidth="1"/>
    <col min="15116" max="15116" width="31.5703125" style="53" customWidth="1"/>
    <col min="15117" max="15117" width="32.140625" style="53" customWidth="1"/>
    <col min="15118" max="15118" width="29" style="53" customWidth="1"/>
    <col min="15119" max="15119" width="32" style="53" customWidth="1"/>
    <col min="15120" max="15120" width="28.140625" style="53" bestFit="1" customWidth="1"/>
    <col min="15121" max="15121" width="23" style="53" bestFit="1" customWidth="1"/>
    <col min="15122" max="15122" width="43.85546875" style="53" bestFit="1" customWidth="1"/>
    <col min="15123" max="15124" width="0" style="53" hidden="1" customWidth="1"/>
    <col min="15125" max="15125" width="25" style="53" bestFit="1" customWidth="1"/>
    <col min="15126" max="15126" width="26.42578125" style="53" customWidth="1"/>
    <col min="15127" max="15127" width="41.5703125" style="53" bestFit="1" customWidth="1"/>
    <col min="15128" max="15128" width="25" style="53" bestFit="1" customWidth="1"/>
    <col min="15129" max="15129" width="49.28515625" style="53" bestFit="1" customWidth="1"/>
    <col min="15130" max="15139" width="0" style="53" hidden="1" customWidth="1"/>
    <col min="15140" max="15140" width="33.28515625" style="53" bestFit="1" customWidth="1"/>
    <col min="15141" max="15142" width="23.85546875" style="53" customWidth="1"/>
    <col min="15143" max="15144" width="29.42578125" style="53" customWidth="1"/>
    <col min="15145" max="15145" width="33.85546875" style="53" customWidth="1"/>
    <col min="15146" max="15146" width="30.140625" style="53" customWidth="1"/>
    <col min="15147" max="15151" width="0" style="53" hidden="1" customWidth="1"/>
    <col min="15152" max="15152" width="33.28515625" style="53" customWidth="1"/>
    <col min="15153" max="15156" width="0" style="53" hidden="1" customWidth="1"/>
    <col min="15157" max="15157" width="31.42578125" style="53" customWidth="1"/>
    <col min="15158" max="15159" width="0" style="53" hidden="1" customWidth="1"/>
    <col min="15160" max="15160" width="29.42578125" style="53" customWidth="1"/>
    <col min="15161" max="15162" width="0" style="53" hidden="1" customWidth="1"/>
    <col min="15163" max="15163" width="30.7109375" style="53" customWidth="1"/>
    <col min="15164" max="15360" width="13" style="53"/>
    <col min="15361" max="15363" width="0" style="53" hidden="1" customWidth="1"/>
    <col min="15364" max="15364" width="13.7109375" style="53" customWidth="1"/>
    <col min="15365" max="15368" width="0" style="53" hidden="1" customWidth="1"/>
    <col min="15369" max="15369" width="46.5703125" style="53" customWidth="1"/>
    <col min="15370" max="15370" width="32.7109375" style="53" customWidth="1"/>
    <col min="15371" max="15371" width="32.85546875" style="53" customWidth="1"/>
    <col min="15372" max="15372" width="31.5703125" style="53" customWidth="1"/>
    <col min="15373" max="15373" width="32.140625" style="53" customWidth="1"/>
    <col min="15374" max="15374" width="29" style="53" customWidth="1"/>
    <col min="15375" max="15375" width="32" style="53" customWidth="1"/>
    <col min="15376" max="15376" width="28.140625" style="53" bestFit="1" customWidth="1"/>
    <col min="15377" max="15377" width="23" style="53" bestFit="1" customWidth="1"/>
    <col min="15378" max="15378" width="43.85546875" style="53" bestFit="1" customWidth="1"/>
    <col min="15379" max="15380" width="0" style="53" hidden="1" customWidth="1"/>
    <col min="15381" max="15381" width="25" style="53" bestFit="1" customWidth="1"/>
    <col min="15382" max="15382" width="26.42578125" style="53" customWidth="1"/>
    <col min="15383" max="15383" width="41.5703125" style="53" bestFit="1" customWidth="1"/>
    <col min="15384" max="15384" width="25" style="53" bestFit="1" customWidth="1"/>
    <col min="15385" max="15385" width="49.28515625" style="53" bestFit="1" customWidth="1"/>
    <col min="15386" max="15395" width="0" style="53" hidden="1" customWidth="1"/>
    <col min="15396" max="15396" width="33.28515625" style="53" bestFit="1" customWidth="1"/>
    <col min="15397" max="15398" width="23.85546875" style="53" customWidth="1"/>
    <col min="15399" max="15400" width="29.42578125" style="53" customWidth="1"/>
    <col min="15401" max="15401" width="33.85546875" style="53" customWidth="1"/>
    <col min="15402" max="15402" width="30.140625" style="53" customWidth="1"/>
    <col min="15403" max="15407" width="0" style="53" hidden="1" customWidth="1"/>
    <col min="15408" max="15408" width="33.28515625" style="53" customWidth="1"/>
    <col min="15409" max="15412" width="0" style="53" hidden="1" customWidth="1"/>
    <col min="15413" max="15413" width="31.42578125" style="53" customWidth="1"/>
    <col min="15414" max="15415" width="0" style="53" hidden="1" customWidth="1"/>
    <col min="15416" max="15416" width="29.42578125" style="53" customWidth="1"/>
    <col min="15417" max="15418" width="0" style="53" hidden="1" customWidth="1"/>
    <col min="15419" max="15419" width="30.7109375" style="53" customWidth="1"/>
    <col min="15420" max="15616" width="13" style="53"/>
    <col min="15617" max="15619" width="0" style="53" hidden="1" customWidth="1"/>
    <col min="15620" max="15620" width="13.7109375" style="53" customWidth="1"/>
    <col min="15621" max="15624" width="0" style="53" hidden="1" customWidth="1"/>
    <col min="15625" max="15625" width="46.5703125" style="53" customWidth="1"/>
    <col min="15626" max="15626" width="32.7109375" style="53" customWidth="1"/>
    <col min="15627" max="15627" width="32.85546875" style="53" customWidth="1"/>
    <col min="15628" max="15628" width="31.5703125" style="53" customWidth="1"/>
    <col min="15629" max="15629" width="32.140625" style="53" customWidth="1"/>
    <col min="15630" max="15630" width="29" style="53" customWidth="1"/>
    <col min="15631" max="15631" width="32" style="53" customWidth="1"/>
    <col min="15632" max="15632" width="28.140625" style="53" bestFit="1" customWidth="1"/>
    <col min="15633" max="15633" width="23" style="53" bestFit="1" customWidth="1"/>
    <col min="15634" max="15634" width="43.85546875" style="53" bestFit="1" customWidth="1"/>
    <col min="15635" max="15636" width="0" style="53" hidden="1" customWidth="1"/>
    <col min="15637" max="15637" width="25" style="53" bestFit="1" customWidth="1"/>
    <col min="15638" max="15638" width="26.42578125" style="53" customWidth="1"/>
    <col min="15639" max="15639" width="41.5703125" style="53" bestFit="1" customWidth="1"/>
    <col min="15640" max="15640" width="25" style="53" bestFit="1" customWidth="1"/>
    <col min="15641" max="15641" width="49.28515625" style="53" bestFit="1" customWidth="1"/>
    <col min="15642" max="15651" width="0" style="53" hidden="1" customWidth="1"/>
    <col min="15652" max="15652" width="33.28515625" style="53" bestFit="1" customWidth="1"/>
    <col min="15653" max="15654" width="23.85546875" style="53" customWidth="1"/>
    <col min="15655" max="15656" width="29.42578125" style="53" customWidth="1"/>
    <col min="15657" max="15657" width="33.85546875" style="53" customWidth="1"/>
    <col min="15658" max="15658" width="30.140625" style="53" customWidth="1"/>
    <col min="15659" max="15663" width="0" style="53" hidden="1" customWidth="1"/>
    <col min="15664" max="15664" width="33.28515625" style="53" customWidth="1"/>
    <col min="15665" max="15668" width="0" style="53" hidden="1" customWidth="1"/>
    <col min="15669" max="15669" width="31.42578125" style="53" customWidth="1"/>
    <col min="15670" max="15671" width="0" style="53" hidden="1" customWidth="1"/>
    <col min="15672" max="15672" width="29.42578125" style="53" customWidth="1"/>
    <col min="15673" max="15674" width="0" style="53" hidden="1" customWidth="1"/>
    <col min="15675" max="15675" width="30.7109375" style="53" customWidth="1"/>
    <col min="15676" max="15872" width="13" style="53"/>
    <col min="15873" max="15875" width="0" style="53" hidden="1" customWidth="1"/>
    <col min="15876" max="15876" width="13.7109375" style="53" customWidth="1"/>
    <col min="15877" max="15880" width="0" style="53" hidden="1" customWidth="1"/>
    <col min="15881" max="15881" width="46.5703125" style="53" customWidth="1"/>
    <col min="15882" max="15882" width="32.7109375" style="53" customWidth="1"/>
    <col min="15883" max="15883" width="32.85546875" style="53" customWidth="1"/>
    <col min="15884" max="15884" width="31.5703125" style="53" customWidth="1"/>
    <col min="15885" max="15885" width="32.140625" style="53" customWidth="1"/>
    <col min="15886" max="15886" width="29" style="53" customWidth="1"/>
    <col min="15887" max="15887" width="32" style="53" customWidth="1"/>
    <col min="15888" max="15888" width="28.140625" style="53" bestFit="1" customWidth="1"/>
    <col min="15889" max="15889" width="23" style="53" bestFit="1" customWidth="1"/>
    <col min="15890" max="15890" width="43.85546875" style="53" bestFit="1" customWidth="1"/>
    <col min="15891" max="15892" width="0" style="53" hidden="1" customWidth="1"/>
    <col min="15893" max="15893" width="25" style="53" bestFit="1" customWidth="1"/>
    <col min="15894" max="15894" width="26.42578125" style="53" customWidth="1"/>
    <col min="15895" max="15895" width="41.5703125" style="53" bestFit="1" customWidth="1"/>
    <col min="15896" max="15896" width="25" style="53" bestFit="1" customWidth="1"/>
    <col min="15897" max="15897" width="49.28515625" style="53" bestFit="1" customWidth="1"/>
    <col min="15898" max="15907" width="0" style="53" hidden="1" customWidth="1"/>
    <col min="15908" max="15908" width="33.28515625" style="53" bestFit="1" customWidth="1"/>
    <col min="15909" max="15910" width="23.85546875" style="53" customWidth="1"/>
    <col min="15911" max="15912" width="29.42578125" style="53" customWidth="1"/>
    <col min="15913" max="15913" width="33.85546875" style="53" customWidth="1"/>
    <col min="15914" max="15914" width="30.140625" style="53" customWidth="1"/>
    <col min="15915" max="15919" width="0" style="53" hidden="1" customWidth="1"/>
    <col min="15920" max="15920" width="33.28515625" style="53" customWidth="1"/>
    <col min="15921" max="15924" width="0" style="53" hidden="1" customWidth="1"/>
    <col min="15925" max="15925" width="31.42578125" style="53" customWidth="1"/>
    <col min="15926" max="15927" width="0" style="53" hidden="1" customWidth="1"/>
    <col min="15928" max="15928" width="29.42578125" style="53" customWidth="1"/>
    <col min="15929" max="15930" width="0" style="53" hidden="1" customWidth="1"/>
    <col min="15931" max="15931" width="30.7109375" style="53" customWidth="1"/>
    <col min="15932" max="16128" width="13" style="53"/>
    <col min="16129" max="16131" width="0" style="53" hidden="1" customWidth="1"/>
    <col min="16132" max="16132" width="13.7109375" style="53" customWidth="1"/>
    <col min="16133" max="16136" width="0" style="53" hidden="1" customWidth="1"/>
    <col min="16137" max="16137" width="46.5703125" style="53" customWidth="1"/>
    <col min="16138" max="16138" width="32.7109375" style="53" customWidth="1"/>
    <col min="16139" max="16139" width="32.85546875" style="53" customWidth="1"/>
    <col min="16140" max="16140" width="31.5703125" style="53" customWidth="1"/>
    <col min="16141" max="16141" width="32.140625" style="53" customWidth="1"/>
    <col min="16142" max="16142" width="29" style="53" customWidth="1"/>
    <col min="16143" max="16143" width="32" style="53" customWidth="1"/>
    <col min="16144" max="16144" width="28.140625" style="53" bestFit="1" customWidth="1"/>
    <col min="16145" max="16145" width="23" style="53" bestFit="1" customWidth="1"/>
    <col min="16146" max="16146" width="43.85546875" style="53" bestFit="1" customWidth="1"/>
    <col min="16147" max="16148" width="0" style="53" hidden="1" customWidth="1"/>
    <col min="16149" max="16149" width="25" style="53" bestFit="1" customWidth="1"/>
    <col min="16150" max="16150" width="26.42578125" style="53" customWidth="1"/>
    <col min="16151" max="16151" width="41.5703125" style="53" bestFit="1" customWidth="1"/>
    <col min="16152" max="16152" width="25" style="53" bestFit="1" customWidth="1"/>
    <col min="16153" max="16153" width="49.28515625" style="53" bestFit="1" customWidth="1"/>
    <col min="16154" max="16163" width="0" style="53" hidden="1" customWidth="1"/>
    <col min="16164" max="16164" width="33.28515625" style="53" bestFit="1" customWidth="1"/>
    <col min="16165" max="16166" width="23.85546875" style="53" customWidth="1"/>
    <col min="16167" max="16168" width="29.42578125" style="53" customWidth="1"/>
    <col min="16169" max="16169" width="33.85546875" style="53" customWidth="1"/>
    <col min="16170" max="16170" width="30.140625" style="53" customWidth="1"/>
    <col min="16171" max="16175" width="0" style="53" hidden="1" customWidth="1"/>
    <col min="16176" max="16176" width="33.28515625" style="53" customWidth="1"/>
    <col min="16177" max="16180" width="0" style="53" hidden="1" customWidth="1"/>
    <col min="16181" max="16181" width="31.42578125" style="53" customWidth="1"/>
    <col min="16182" max="16183" width="0" style="53" hidden="1" customWidth="1"/>
    <col min="16184" max="16184" width="29.42578125" style="53" customWidth="1"/>
    <col min="16185" max="16186" width="0" style="53" hidden="1" customWidth="1"/>
    <col min="16187" max="16187" width="30.7109375" style="53" customWidth="1"/>
    <col min="16188" max="16384" width="13" style="53"/>
  </cols>
  <sheetData>
    <row r="1" spans="2:59" ht="21" customHeight="1" thickBot="1" x14ac:dyDescent="0.25">
      <c r="C1" s="54"/>
      <c r="D1" s="55"/>
      <c r="E1" s="56"/>
      <c r="F1" s="56"/>
      <c r="G1" s="56"/>
      <c r="H1" s="56"/>
      <c r="I1" s="54">
        <v>1</v>
      </c>
      <c r="J1" s="54">
        <v>2</v>
      </c>
      <c r="K1" s="54">
        <v>3</v>
      </c>
      <c r="L1" s="54">
        <v>4</v>
      </c>
      <c r="M1" s="54">
        <v>5</v>
      </c>
      <c r="N1" s="54">
        <v>6</v>
      </c>
      <c r="O1" s="54">
        <v>7</v>
      </c>
      <c r="P1" s="54">
        <v>8</v>
      </c>
      <c r="Q1" s="54">
        <v>9</v>
      </c>
      <c r="R1" s="54">
        <v>10</v>
      </c>
      <c r="S1" s="54"/>
      <c r="T1" s="54"/>
      <c r="U1" s="54">
        <v>11</v>
      </c>
      <c r="V1" s="54">
        <v>12</v>
      </c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</row>
    <row r="2" spans="2:59" s="57" customFormat="1" ht="51.75" customHeight="1" thickBot="1" x14ac:dyDescent="0.25">
      <c r="B2" s="57" t="s">
        <v>58</v>
      </c>
      <c r="C2" s="54"/>
      <c r="D2" s="58"/>
      <c r="I2" s="59" t="s">
        <v>29</v>
      </c>
      <c r="BE2" s="60"/>
    </row>
    <row r="3" spans="2:59" ht="99.75" customHeight="1" thickBot="1" x14ac:dyDescent="0.25">
      <c r="C3" s="509" t="s">
        <v>59</v>
      </c>
      <c r="E3" s="503" t="s">
        <v>60</v>
      </c>
      <c r="F3" s="509" t="s">
        <v>61</v>
      </c>
      <c r="G3" s="509" t="s">
        <v>62</v>
      </c>
      <c r="H3" s="510" t="s">
        <v>63</v>
      </c>
      <c r="I3" s="509" t="s">
        <v>64</v>
      </c>
      <c r="J3" s="503" t="s">
        <v>65</v>
      </c>
      <c r="K3" s="504" t="s">
        <v>66</v>
      </c>
      <c r="L3" s="505" t="s">
        <v>67</v>
      </c>
      <c r="M3" s="505"/>
      <c r="N3" s="505"/>
      <c r="O3" s="505"/>
      <c r="P3" s="506" t="s">
        <v>68</v>
      </c>
      <c r="Q3" s="506"/>
      <c r="R3" s="506"/>
      <c r="S3" s="62"/>
      <c r="T3" s="62"/>
      <c r="U3" s="507" t="s">
        <v>69</v>
      </c>
      <c r="V3" s="507"/>
      <c r="W3" s="507"/>
      <c r="X3" s="507"/>
      <c r="Y3" s="507"/>
      <c r="Z3" s="507"/>
      <c r="AA3" s="507"/>
      <c r="AB3" s="507"/>
      <c r="AC3" s="507"/>
      <c r="AD3" s="507"/>
      <c r="AE3" s="507"/>
      <c r="AF3" s="507"/>
      <c r="AG3" s="507"/>
      <c r="AH3" s="507"/>
      <c r="AI3" s="507"/>
      <c r="AJ3" s="508" t="s">
        <v>70</v>
      </c>
      <c r="AK3" s="508"/>
      <c r="AL3" s="508"/>
      <c r="AM3" s="508"/>
      <c r="AN3" s="508"/>
      <c r="AO3" s="508"/>
      <c r="AP3" s="508"/>
      <c r="AQ3" s="508"/>
      <c r="AR3" s="508"/>
      <c r="AS3" s="508"/>
      <c r="AT3" s="508"/>
      <c r="AU3" s="508"/>
      <c r="AV3" s="508"/>
      <c r="AW3" s="508"/>
      <c r="AX3" s="508"/>
      <c r="AY3" s="508"/>
      <c r="AZ3" s="508"/>
      <c r="BA3" s="508"/>
      <c r="BB3" s="508"/>
      <c r="BC3" s="508"/>
      <c r="BD3" s="500" t="s">
        <v>26</v>
      </c>
      <c r="BE3" s="63"/>
      <c r="BF3" s="63"/>
      <c r="BG3" s="500" t="s">
        <v>71</v>
      </c>
    </row>
    <row r="4" spans="2:59" ht="20.65" customHeight="1" thickBot="1" x14ac:dyDescent="0.25">
      <c r="C4" s="509"/>
      <c r="E4" s="503"/>
      <c r="F4" s="509"/>
      <c r="G4" s="509"/>
      <c r="H4" s="510"/>
      <c r="I4" s="509"/>
      <c r="J4" s="503"/>
      <c r="K4" s="504"/>
      <c r="L4" s="484"/>
      <c r="M4" s="484"/>
      <c r="N4" s="484"/>
      <c r="O4" s="484"/>
      <c r="P4" s="62"/>
      <c r="Q4" s="62"/>
      <c r="R4" s="485" t="s">
        <v>72</v>
      </c>
      <c r="S4" s="485"/>
      <c r="T4" s="485"/>
      <c r="U4" s="486"/>
      <c r="V4" s="486"/>
      <c r="W4" s="486"/>
      <c r="X4" s="486"/>
      <c r="Y4" s="487" t="s">
        <v>19</v>
      </c>
      <c r="Z4" s="487"/>
      <c r="AA4" s="487"/>
      <c r="AB4" s="487"/>
      <c r="AC4" s="487"/>
      <c r="AD4" s="487"/>
      <c r="AE4" s="487"/>
      <c r="AF4" s="487"/>
      <c r="AG4" s="487"/>
      <c r="AH4" s="487"/>
      <c r="AI4" s="487"/>
      <c r="AJ4" s="488"/>
      <c r="AK4" s="488"/>
      <c r="AL4" s="488"/>
      <c r="AM4" s="488"/>
      <c r="AN4" s="488"/>
      <c r="AO4" s="488"/>
      <c r="AP4" s="488"/>
      <c r="AQ4" s="488"/>
      <c r="AR4" s="488"/>
      <c r="AS4" s="488"/>
      <c r="AT4" s="488"/>
      <c r="AU4" s="488"/>
      <c r="AV4" s="489" t="s">
        <v>73</v>
      </c>
      <c r="AW4" s="489"/>
      <c r="AX4" s="489"/>
      <c r="AY4" s="489"/>
      <c r="AZ4" s="489"/>
      <c r="BA4" s="490" t="s">
        <v>74</v>
      </c>
      <c r="BB4" s="490"/>
      <c r="BC4" s="490"/>
      <c r="BD4" s="500"/>
      <c r="BE4" s="63"/>
      <c r="BF4" s="63"/>
      <c r="BG4" s="500"/>
    </row>
    <row r="5" spans="2:59" ht="132" customHeight="1" thickBot="1" x14ac:dyDescent="0.25">
      <c r="C5" s="509"/>
      <c r="E5" s="503"/>
      <c r="F5" s="509"/>
      <c r="G5" s="509"/>
      <c r="H5" s="510"/>
      <c r="I5" s="509"/>
      <c r="J5" s="503"/>
      <c r="K5" s="504"/>
      <c r="L5" s="482" t="s">
        <v>75</v>
      </c>
      <c r="M5" s="482" t="s">
        <v>76</v>
      </c>
      <c r="N5" s="482" t="s">
        <v>77</v>
      </c>
      <c r="O5" s="482" t="s">
        <v>78</v>
      </c>
      <c r="P5" s="65" t="s">
        <v>79</v>
      </c>
      <c r="Q5" s="65" t="s">
        <v>80</v>
      </c>
      <c r="R5" s="65" t="s">
        <v>81</v>
      </c>
      <c r="S5" s="482" t="s">
        <v>82</v>
      </c>
      <c r="T5" s="482" t="s">
        <v>83</v>
      </c>
      <c r="U5" s="482" t="s">
        <v>84</v>
      </c>
      <c r="V5" s="482" t="s">
        <v>85</v>
      </c>
      <c r="W5" s="482" t="s">
        <v>86</v>
      </c>
      <c r="X5" s="66" t="s">
        <v>18</v>
      </c>
      <c r="Y5" s="482" t="s">
        <v>87</v>
      </c>
      <c r="Z5" s="66" t="s">
        <v>88</v>
      </c>
      <c r="AA5" s="67" t="s">
        <v>89</v>
      </c>
      <c r="AB5" s="66" t="s">
        <v>90</v>
      </c>
      <c r="AC5" s="482" t="s">
        <v>91</v>
      </c>
      <c r="AD5" s="482" t="s">
        <v>92</v>
      </c>
      <c r="AE5" s="482" t="s">
        <v>93</v>
      </c>
      <c r="AF5" s="482" t="s">
        <v>94</v>
      </c>
      <c r="AG5" s="482" t="s">
        <v>95</v>
      </c>
      <c r="AH5" s="482" t="s">
        <v>96</v>
      </c>
      <c r="AI5" s="482" t="s">
        <v>97</v>
      </c>
      <c r="AJ5" s="68" t="s">
        <v>20</v>
      </c>
      <c r="AK5" s="68" t="s">
        <v>21</v>
      </c>
      <c r="AL5" s="69" t="s">
        <v>552</v>
      </c>
      <c r="AM5" s="491" t="s">
        <v>98</v>
      </c>
      <c r="AN5" s="491" t="s">
        <v>553</v>
      </c>
      <c r="AO5" s="69" t="s">
        <v>22</v>
      </c>
      <c r="AP5" s="69" t="s">
        <v>23</v>
      </c>
      <c r="AQ5" s="492" t="s">
        <v>554</v>
      </c>
      <c r="AR5" s="482"/>
      <c r="AS5" s="482" t="s">
        <v>99</v>
      </c>
      <c r="AT5" s="493" t="s">
        <v>555</v>
      </c>
      <c r="AU5" s="493" t="s">
        <v>556</v>
      </c>
      <c r="AV5" s="501" t="s">
        <v>100</v>
      </c>
      <c r="AW5" s="501"/>
      <c r="AX5" s="501"/>
      <c r="AY5" s="501"/>
      <c r="AZ5" s="501"/>
      <c r="BA5" s="502" t="s">
        <v>101</v>
      </c>
      <c r="BB5" s="502" t="s">
        <v>102</v>
      </c>
      <c r="BC5" s="502" t="s">
        <v>103</v>
      </c>
      <c r="BD5" s="500"/>
      <c r="BE5" s="482" t="s">
        <v>104</v>
      </c>
      <c r="BF5" s="482" t="s">
        <v>105</v>
      </c>
      <c r="BG5" s="500"/>
    </row>
    <row r="6" spans="2:59" ht="63" customHeight="1" thickBot="1" x14ac:dyDescent="0.25">
      <c r="B6" s="70"/>
      <c r="C6" s="71"/>
      <c r="E6" s="72"/>
      <c r="F6" s="72"/>
      <c r="G6" s="73"/>
      <c r="H6" s="73"/>
      <c r="I6" s="71" t="s">
        <v>106</v>
      </c>
      <c r="J6" s="74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6"/>
      <c r="AP6" s="76"/>
      <c r="AQ6" s="76" t="s">
        <v>557</v>
      </c>
      <c r="AR6" s="76" t="s">
        <v>558</v>
      </c>
      <c r="AS6" s="75"/>
      <c r="AT6" s="75"/>
      <c r="AU6" s="75"/>
      <c r="AV6" s="494" t="s">
        <v>73</v>
      </c>
      <c r="AW6" s="495" t="s">
        <v>107</v>
      </c>
      <c r="AX6" s="495" t="s">
        <v>108</v>
      </c>
      <c r="AY6" s="495" t="s">
        <v>559</v>
      </c>
      <c r="AZ6" s="495" t="s">
        <v>560</v>
      </c>
      <c r="BA6" s="75"/>
      <c r="BB6" s="75"/>
      <c r="BC6" s="75"/>
      <c r="BD6" s="75"/>
      <c r="BE6" s="75"/>
      <c r="BF6" s="75"/>
      <c r="BG6" s="77"/>
    </row>
    <row r="7" spans="2:59" ht="63" customHeight="1" thickBot="1" x14ac:dyDescent="0.25">
      <c r="B7" s="70"/>
      <c r="C7" s="78" t="e">
        <f>J7-#REF!</f>
        <v>#REF!</v>
      </c>
      <c r="D7" s="61" t="s">
        <v>109</v>
      </c>
      <c r="E7" s="72" t="s">
        <v>110</v>
      </c>
      <c r="F7" s="72"/>
      <c r="G7" s="73" t="s">
        <v>111</v>
      </c>
      <c r="H7" s="73" t="s">
        <v>112</v>
      </c>
      <c r="I7" s="79" t="s">
        <v>113</v>
      </c>
      <c r="J7" s="80">
        <v>3200000</v>
      </c>
      <c r="K7" s="81">
        <v>23851.41</v>
      </c>
      <c r="L7" s="81">
        <v>435025.03</v>
      </c>
      <c r="M7" s="81">
        <v>741123.56</v>
      </c>
      <c r="N7" s="81">
        <v>0</v>
      </c>
      <c r="O7" s="81">
        <v>2000000</v>
      </c>
      <c r="P7" s="81"/>
      <c r="Q7" s="81"/>
      <c r="R7" s="81"/>
      <c r="S7" s="81"/>
      <c r="T7" s="81"/>
      <c r="U7" s="81"/>
      <c r="V7" s="81">
        <v>458876.44</v>
      </c>
      <c r="W7" s="81"/>
      <c r="X7" s="81">
        <f t="shared" ref="X7:X38" si="0">Z7+AB7</f>
        <v>0</v>
      </c>
      <c r="Y7" s="81">
        <f t="shared" ref="Y7:Y43" si="1">AC7+AD7+AE7+AF7+AG7+AH7+AI7+AA7</f>
        <v>0</v>
      </c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>
        <v>0</v>
      </c>
      <c r="AM7" s="81"/>
      <c r="AN7" s="81">
        <v>0</v>
      </c>
      <c r="AO7" s="81"/>
      <c r="AP7" s="81">
        <v>0</v>
      </c>
      <c r="AQ7" s="81">
        <f t="shared" ref="AQ7:AQ13" si="2">AS7+AT7+AU7</f>
        <v>0</v>
      </c>
      <c r="AR7" s="81" t="e">
        <f>AQ7-#REF!-#REF!-#REF!</f>
        <v>#REF!</v>
      </c>
      <c r="AS7" s="81">
        <f>2741123.56-2741123.56</f>
        <v>0</v>
      </c>
      <c r="AT7" s="81"/>
      <c r="AU7" s="81"/>
      <c r="AV7" s="81">
        <f t="shared" ref="AV7:AV38" si="3">SUM(AW7:AZ7)</f>
        <v>741123.56</v>
      </c>
      <c r="AW7" s="81"/>
      <c r="AX7" s="81"/>
      <c r="AY7" s="81"/>
      <c r="AZ7" s="81">
        <v>741123.56</v>
      </c>
      <c r="BA7" s="81"/>
      <c r="BB7" s="81"/>
      <c r="BC7" s="81"/>
      <c r="BD7" s="81"/>
      <c r="BE7" s="81"/>
      <c r="BF7" s="81"/>
      <c r="BG7" s="82">
        <v>2000000</v>
      </c>
    </row>
    <row r="8" spans="2:59" ht="73.150000000000006" customHeight="1" thickBot="1" x14ac:dyDescent="0.25">
      <c r="B8" s="70"/>
      <c r="C8" s="78" t="e">
        <f>J8-#REF!</f>
        <v>#REF!</v>
      </c>
      <c r="D8" s="61" t="s">
        <v>114</v>
      </c>
      <c r="E8" s="83"/>
      <c r="F8" s="83"/>
      <c r="G8" s="84"/>
      <c r="H8" s="84" t="s">
        <v>112</v>
      </c>
      <c r="I8" s="85" t="s">
        <v>115</v>
      </c>
      <c r="J8" s="86">
        <v>800000</v>
      </c>
      <c r="K8" s="87">
        <v>11174.9</v>
      </c>
      <c r="L8" s="87">
        <v>400000</v>
      </c>
      <c r="M8" s="87">
        <v>388825.1</v>
      </c>
      <c r="N8" s="87">
        <v>0</v>
      </c>
      <c r="O8" s="87"/>
      <c r="P8" s="87"/>
      <c r="Q8" s="87"/>
      <c r="R8" s="87"/>
      <c r="S8" s="87"/>
      <c r="T8" s="87"/>
      <c r="U8" s="87"/>
      <c r="V8" s="87"/>
      <c r="W8" s="87"/>
      <c r="X8" s="81">
        <f t="shared" si="0"/>
        <v>0</v>
      </c>
      <c r="Y8" s="81">
        <f t="shared" si="1"/>
        <v>0</v>
      </c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1">
        <v>11174.9</v>
      </c>
      <c r="AM8" s="87"/>
      <c r="AN8" s="81">
        <v>11174.9</v>
      </c>
      <c r="AO8" s="87">
        <v>400000</v>
      </c>
      <c r="AP8" s="81">
        <v>388825.1</v>
      </c>
      <c r="AQ8" s="87">
        <f t="shared" si="2"/>
        <v>800000</v>
      </c>
      <c r="AR8" s="81" t="e">
        <f>AQ8-#REF!-#REF!-#REF!</f>
        <v>#REF!</v>
      </c>
      <c r="AS8" s="87"/>
      <c r="AT8" s="87">
        <v>800000</v>
      </c>
      <c r="AU8" s="87"/>
      <c r="AV8" s="87">
        <f t="shared" si="3"/>
        <v>0</v>
      </c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8"/>
    </row>
    <row r="9" spans="2:59" ht="69.75" customHeight="1" thickBot="1" x14ac:dyDescent="0.25">
      <c r="B9" s="70"/>
      <c r="C9" s="78" t="e">
        <f>J9-#REF!</f>
        <v>#REF!</v>
      </c>
      <c r="D9" s="61" t="s">
        <v>116</v>
      </c>
      <c r="E9" s="83" t="s">
        <v>117</v>
      </c>
      <c r="F9" s="83">
        <v>63102</v>
      </c>
      <c r="G9" s="84" t="s">
        <v>118</v>
      </c>
      <c r="H9" s="84" t="s">
        <v>112</v>
      </c>
      <c r="I9" s="85" t="s">
        <v>119</v>
      </c>
      <c r="J9" s="86">
        <v>1880000</v>
      </c>
      <c r="K9" s="87">
        <v>1657757.7</v>
      </c>
      <c r="L9" s="87">
        <v>222242.30000000005</v>
      </c>
      <c r="M9" s="87">
        <v>0</v>
      </c>
      <c r="N9" s="87">
        <v>0</v>
      </c>
      <c r="O9" s="87">
        <v>0</v>
      </c>
      <c r="P9" s="87">
        <v>1786000</v>
      </c>
      <c r="Q9" s="87"/>
      <c r="R9" s="87"/>
      <c r="S9" s="87"/>
      <c r="T9" s="87"/>
      <c r="U9" s="87"/>
      <c r="V9" s="87">
        <f>94000-9400</f>
        <v>84600</v>
      </c>
      <c r="W9" s="87"/>
      <c r="X9" s="81">
        <f t="shared" si="0"/>
        <v>0</v>
      </c>
      <c r="Y9" s="81">
        <f t="shared" si="1"/>
        <v>0</v>
      </c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1">
        <v>9400</v>
      </c>
      <c r="AM9" s="87"/>
      <c r="AN9" s="81">
        <v>9400</v>
      </c>
      <c r="AO9" s="81"/>
      <c r="AP9" s="81">
        <v>0</v>
      </c>
      <c r="AQ9" s="87">
        <f t="shared" si="2"/>
        <v>9400</v>
      </c>
      <c r="AR9" s="81" t="e">
        <f>AQ9-#REF!-#REF!-#REF!</f>
        <v>#REF!</v>
      </c>
      <c r="AS9" s="87">
        <v>9400</v>
      </c>
      <c r="AT9" s="87"/>
      <c r="AU9" s="87"/>
      <c r="AV9" s="87">
        <f t="shared" si="3"/>
        <v>0</v>
      </c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8"/>
    </row>
    <row r="10" spans="2:59" ht="150" customHeight="1" thickBot="1" x14ac:dyDescent="0.25">
      <c r="B10" s="70"/>
      <c r="C10" s="78">
        <v>-1500000</v>
      </c>
      <c r="D10" s="61" t="s">
        <v>120</v>
      </c>
      <c r="E10" s="83" t="s">
        <v>121</v>
      </c>
      <c r="F10" s="83">
        <v>63001</v>
      </c>
      <c r="G10" s="84" t="s">
        <v>122</v>
      </c>
      <c r="H10" s="84" t="s">
        <v>112</v>
      </c>
      <c r="I10" s="85" t="s">
        <v>123</v>
      </c>
      <c r="J10" s="86">
        <f>8500000+431055.23</f>
        <v>8931055.2300000004</v>
      </c>
      <c r="K10" s="87">
        <v>502513.05</v>
      </c>
      <c r="L10" s="87">
        <v>500000</v>
      </c>
      <c r="M10" s="87">
        <v>1428542.18</v>
      </c>
      <c r="N10" s="87">
        <v>5000000</v>
      </c>
      <c r="O10" s="87">
        <v>1500000</v>
      </c>
      <c r="P10" s="87">
        <v>1425000</v>
      </c>
      <c r="Q10" s="87"/>
      <c r="R10" s="87"/>
      <c r="S10" s="87"/>
      <c r="T10" s="87"/>
      <c r="U10" s="87"/>
      <c r="V10" s="87">
        <v>75000</v>
      </c>
      <c r="W10" s="87"/>
      <c r="X10" s="81">
        <f t="shared" si="0"/>
        <v>0</v>
      </c>
      <c r="Y10" s="81">
        <f t="shared" si="1"/>
        <v>0</v>
      </c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1">
        <v>0</v>
      </c>
      <c r="AM10" s="87"/>
      <c r="AN10" s="81">
        <v>0</v>
      </c>
      <c r="AO10" s="81"/>
      <c r="AP10" s="81">
        <v>1281055.23</v>
      </c>
      <c r="AQ10" s="87">
        <f t="shared" si="2"/>
        <v>850000</v>
      </c>
      <c r="AR10" s="81" t="e">
        <f>AQ10-#REF!-#REF!-#REF!</f>
        <v>#REF!</v>
      </c>
      <c r="AS10" s="87"/>
      <c r="AT10" s="87">
        <v>850000</v>
      </c>
      <c r="AU10" s="87"/>
      <c r="AV10" s="87">
        <f t="shared" si="3"/>
        <v>6150000</v>
      </c>
      <c r="AW10" s="87"/>
      <c r="AX10" s="87"/>
      <c r="AY10" s="87"/>
      <c r="AZ10" s="87">
        <f>6500000-350000</f>
        <v>6150000</v>
      </c>
      <c r="BA10" s="87">
        <f>BB10+BC10</f>
        <v>0</v>
      </c>
      <c r="BB10" s="87"/>
      <c r="BC10" s="87"/>
      <c r="BD10" s="87"/>
      <c r="BE10" s="87"/>
      <c r="BF10" s="87"/>
      <c r="BG10" s="88"/>
    </row>
    <row r="11" spans="2:59" ht="69" customHeight="1" thickBot="1" x14ac:dyDescent="0.25">
      <c r="B11" s="70"/>
      <c r="C11" s="78" t="e">
        <f>J11-#REF!</f>
        <v>#REF!</v>
      </c>
      <c r="D11" s="61" t="s">
        <v>124</v>
      </c>
      <c r="E11" s="83"/>
      <c r="F11" s="83"/>
      <c r="G11" s="84"/>
      <c r="H11" s="84" t="s">
        <v>112</v>
      </c>
      <c r="I11" s="85" t="s">
        <v>125</v>
      </c>
      <c r="J11" s="86">
        <v>1261350</v>
      </c>
      <c r="K11" s="87">
        <v>12099.23</v>
      </c>
      <c r="L11" s="87">
        <v>287900.77</v>
      </c>
      <c r="M11" s="87">
        <v>544575.31000000006</v>
      </c>
      <c r="N11" s="87">
        <v>0</v>
      </c>
      <c r="O11" s="87">
        <v>416774.68999999994</v>
      </c>
      <c r="P11" s="87"/>
      <c r="Q11" s="87"/>
      <c r="R11" s="87"/>
      <c r="S11" s="87"/>
      <c r="T11" s="87"/>
      <c r="U11" s="87"/>
      <c r="V11" s="87"/>
      <c r="W11" s="87"/>
      <c r="X11" s="81">
        <f t="shared" si="0"/>
        <v>0</v>
      </c>
      <c r="Y11" s="81">
        <f t="shared" si="1"/>
        <v>815408.64000000001</v>
      </c>
      <c r="Z11" s="87"/>
      <c r="AA11" s="87"/>
      <c r="AB11" s="87">
        <f>416774.69-416774.69</f>
        <v>0</v>
      </c>
      <c r="AC11" s="87">
        <v>815408.64000000001</v>
      </c>
      <c r="AD11" s="87"/>
      <c r="AE11" s="87">
        <f>29166.67-29166.67</f>
        <v>0</v>
      </c>
      <c r="AF11" s="87"/>
      <c r="AG11" s="87"/>
      <c r="AH11" s="87"/>
      <c r="AI11" s="87"/>
      <c r="AJ11" s="87"/>
      <c r="AK11" s="87"/>
      <c r="AL11" s="81">
        <v>0</v>
      </c>
      <c r="AM11" s="87"/>
      <c r="AN11" s="81">
        <v>0</v>
      </c>
      <c r="AO11" s="81">
        <v>29166.67</v>
      </c>
      <c r="AP11" s="81">
        <v>0</v>
      </c>
      <c r="AQ11" s="87">
        <f t="shared" si="2"/>
        <v>0</v>
      </c>
      <c r="AR11" s="81" t="e">
        <f>AQ11-#REF!-#REF!-#REF!</f>
        <v>#REF!</v>
      </c>
      <c r="AS11" s="87">
        <f>416774.69-416774.69</f>
        <v>0</v>
      </c>
      <c r="AT11" s="87">
        <f>416774.69-416774.69</f>
        <v>0</v>
      </c>
      <c r="AU11" s="87"/>
      <c r="AV11" s="87">
        <f t="shared" si="3"/>
        <v>0</v>
      </c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8">
        <v>416774.69</v>
      </c>
    </row>
    <row r="12" spans="2:59" ht="107.25" customHeight="1" thickBot="1" x14ac:dyDescent="0.25">
      <c r="B12" s="70"/>
      <c r="C12" s="78" t="e">
        <f>J12-#REF!</f>
        <v>#REF!</v>
      </c>
      <c r="D12" s="61" t="s">
        <v>126</v>
      </c>
      <c r="E12" s="83"/>
      <c r="F12" s="83"/>
      <c r="G12" s="84" t="s">
        <v>127</v>
      </c>
      <c r="H12" s="84" t="s">
        <v>112</v>
      </c>
      <c r="I12" s="85" t="s">
        <v>128</v>
      </c>
      <c r="J12" s="86">
        <v>1200000</v>
      </c>
      <c r="K12" s="87">
        <v>0</v>
      </c>
      <c r="L12" s="87">
        <v>200000</v>
      </c>
      <c r="M12" s="87">
        <v>294000</v>
      </c>
      <c r="N12" s="87">
        <v>706000</v>
      </c>
      <c r="O12" s="87">
        <v>0</v>
      </c>
      <c r="P12" s="87"/>
      <c r="Q12" s="87"/>
      <c r="R12" s="87">
        <v>494000</v>
      </c>
      <c r="S12" s="87">
        <v>494000</v>
      </c>
      <c r="T12" s="87"/>
      <c r="U12" s="87"/>
      <c r="V12" s="87"/>
      <c r="W12" s="87"/>
      <c r="X12" s="81">
        <f t="shared" si="0"/>
        <v>0</v>
      </c>
      <c r="Y12" s="81">
        <f t="shared" si="1"/>
        <v>0</v>
      </c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1">
        <v>0</v>
      </c>
      <c r="AM12" s="87"/>
      <c r="AN12" s="81">
        <v>0</v>
      </c>
      <c r="AO12" s="81"/>
      <c r="AP12" s="81">
        <v>0</v>
      </c>
      <c r="AQ12" s="87">
        <f t="shared" si="2"/>
        <v>0</v>
      </c>
      <c r="AR12" s="81" t="e">
        <f>AQ12-#REF!-#REF!-#REF!</f>
        <v>#REF!</v>
      </c>
      <c r="AS12" s="87"/>
      <c r="AT12" s="87">
        <f>1200000-494000-706000</f>
        <v>0</v>
      </c>
      <c r="AU12" s="87"/>
      <c r="AV12" s="87">
        <f t="shared" si="3"/>
        <v>706000</v>
      </c>
      <c r="AW12" s="87"/>
      <c r="AX12" s="87"/>
      <c r="AY12" s="87"/>
      <c r="AZ12" s="87">
        <v>706000</v>
      </c>
      <c r="BA12" s="87"/>
      <c r="BB12" s="87"/>
      <c r="BC12" s="87"/>
      <c r="BD12" s="87"/>
      <c r="BE12" s="87"/>
      <c r="BF12" s="87"/>
      <c r="BG12" s="88"/>
    </row>
    <row r="13" spans="2:59" ht="122.25" thickBot="1" x14ac:dyDescent="0.25">
      <c r="B13" s="70"/>
      <c r="C13" s="78" t="e">
        <f>J13-#REF!</f>
        <v>#REF!</v>
      </c>
      <c r="D13" s="61" t="s">
        <v>129</v>
      </c>
      <c r="E13" s="83"/>
      <c r="F13" s="83"/>
      <c r="G13" s="84" t="s">
        <v>130</v>
      </c>
      <c r="H13" s="84" t="s">
        <v>112</v>
      </c>
      <c r="I13" s="85" t="s">
        <v>131</v>
      </c>
      <c r="J13" s="86">
        <v>451000</v>
      </c>
      <c r="K13" s="87">
        <v>0</v>
      </c>
      <c r="L13" s="87">
        <v>225500.00000000003</v>
      </c>
      <c r="M13" s="87">
        <v>225500.00000000003</v>
      </c>
      <c r="N13" s="87"/>
      <c r="O13" s="87">
        <v>0</v>
      </c>
      <c r="P13" s="87"/>
      <c r="Q13" s="87"/>
      <c r="R13" s="87">
        <v>420152</v>
      </c>
      <c r="S13" s="87">
        <v>420152</v>
      </c>
      <c r="T13" s="87"/>
      <c r="U13" s="87"/>
      <c r="V13" s="87"/>
      <c r="W13" s="87"/>
      <c r="X13" s="81">
        <f t="shared" si="0"/>
        <v>0</v>
      </c>
      <c r="Y13" s="81">
        <f t="shared" si="1"/>
        <v>0</v>
      </c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1">
        <v>0</v>
      </c>
      <c r="AM13" s="87"/>
      <c r="AN13" s="81">
        <v>0</v>
      </c>
      <c r="AO13" s="81"/>
      <c r="AP13" s="81">
        <v>0</v>
      </c>
      <c r="AQ13" s="87">
        <f t="shared" si="2"/>
        <v>0</v>
      </c>
      <c r="AR13" s="81" t="e">
        <f>AQ13-#REF!-#REF!-#REF!</f>
        <v>#REF!</v>
      </c>
      <c r="AS13" s="87"/>
      <c r="AT13" s="87">
        <f>451000-420152-30848</f>
        <v>0</v>
      </c>
      <c r="AU13" s="87"/>
      <c r="AV13" s="87">
        <f t="shared" si="3"/>
        <v>30848</v>
      </c>
      <c r="AW13" s="87"/>
      <c r="AX13" s="87"/>
      <c r="AY13" s="87"/>
      <c r="AZ13" s="87">
        <v>30848</v>
      </c>
      <c r="BA13" s="87"/>
      <c r="BB13" s="87"/>
      <c r="BC13" s="87"/>
      <c r="BD13" s="87"/>
      <c r="BE13" s="87"/>
      <c r="BF13" s="87"/>
      <c r="BG13" s="88"/>
    </row>
    <row r="14" spans="2:59" ht="88.5" customHeight="1" thickBot="1" x14ac:dyDescent="0.25">
      <c r="B14" s="70"/>
      <c r="C14" s="78" t="e">
        <f>J14-#REF!</f>
        <v>#REF!</v>
      </c>
      <c r="D14" s="61" t="s">
        <v>132</v>
      </c>
      <c r="E14" s="83"/>
      <c r="F14" s="83"/>
      <c r="G14" s="84" t="s">
        <v>127</v>
      </c>
      <c r="H14" s="84" t="s">
        <v>112</v>
      </c>
      <c r="I14" s="85" t="s">
        <v>133</v>
      </c>
      <c r="J14" s="86">
        <v>408805</v>
      </c>
      <c r="K14" s="87">
        <v>12680.88</v>
      </c>
      <c r="L14" s="87">
        <v>43600</v>
      </c>
      <c r="M14" s="87">
        <v>352524.12</v>
      </c>
      <c r="N14" s="87">
        <v>0</v>
      </c>
      <c r="O14" s="87">
        <v>0</v>
      </c>
      <c r="P14" s="87"/>
      <c r="Q14" s="87"/>
      <c r="R14" s="87">
        <v>408805</v>
      </c>
      <c r="S14" s="87">
        <v>408805</v>
      </c>
      <c r="T14" s="87"/>
      <c r="U14" s="87"/>
      <c r="V14" s="87"/>
      <c r="W14" s="87"/>
      <c r="X14" s="81">
        <f t="shared" si="0"/>
        <v>0</v>
      </c>
      <c r="Y14" s="81">
        <f t="shared" si="1"/>
        <v>0</v>
      </c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1">
        <v>0</v>
      </c>
      <c r="AM14" s="87"/>
      <c r="AN14" s="81">
        <v>0</v>
      </c>
      <c r="AO14" s="81"/>
      <c r="AP14" s="81">
        <v>0</v>
      </c>
      <c r="AQ14" s="87"/>
      <c r="AR14" s="81" t="e">
        <f>AQ14-#REF!-#REF!-#REF!</f>
        <v>#REF!</v>
      </c>
      <c r="AS14" s="87"/>
      <c r="AT14" s="87"/>
      <c r="AU14" s="87"/>
      <c r="AV14" s="87">
        <f t="shared" si="3"/>
        <v>0</v>
      </c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8"/>
    </row>
    <row r="15" spans="2:59" ht="76.5" customHeight="1" thickBot="1" x14ac:dyDescent="0.25">
      <c r="B15" s="70"/>
      <c r="C15" s="78" t="e">
        <f>J15-#REF!</f>
        <v>#REF!</v>
      </c>
      <c r="D15" s="61" t="s">
        <v>134</v>
      </c>
      <c r="E15" s="83"/>
      <c r="F15" s="83"/>
      <c r="G15" s="84" t="s">
        <v>127</v>
      </c>
      <c r="H15" s="84" t="s">
        <v>112</v>
      </c>
      <c r="I15" s="85" t="s">
        <v>135</v>
      </c>
      <c r="J15" s="86">
        <v>155660</v>
      </c>
      <c r="K15" s="87">
        <v>77616.789999999994</v>
      </c>
      <c r="L15" s="87">
        <v>78043.210000000006</v>
      </c>
      <c r="M15" s="87">
        <v>0</v>
      </c>
      <c r="N15" s="87">
        <v>0</v>
      </c>
      <c r="O15" s="87">
        <v>0</v>
      </c>
      <c r="P15" s="87"/>
      <c r="Q15" s="87"/>
      <c r="R15" s="87">
        <v>155660</v>
      </c>
      <c r="S15" s="87">
        <v>155660</v>
      </c>
      <c r="T15" s="87"/>
      <c r="U15" s="87"/>
      <c r="V15" s="87"/>
      <c r="W15" s="87"/>
      <c r="X15" s="81">
        <f t="shared" si="0"/>
        <v>0</v>
      </c>
      <c r="Y15" s="81">
        <f t="shared" si="1"/>
        <v>0</v>
      </c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1">
        <v>0</v>
      </c>
      <c r="AM15" s="87"/>
      <c r="AN15" s="81">
        <v>0</v>
      </c>
      <c r="AO15" s="81"/>
      <c r="AP15" s="81">
        <v>0</v>
      </c>
      <c r="AQ15" s="87"/>
      <c r="AR15" s="81" t="e">
        <f>AQ15-#REF!-#REF!-#REF!</f>
        <v>#REF!</v>
      </c>
      <c r="AS15" s="87"/>
      <c r="AT15" s="87"/>
      <c r="AU15" s="87"/>
      <c r="AV15" s="87">
        <f t="shared" si="3"/>
        <v>0</v>
      </c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8"/>
    </row>
    <row r="16" spans="2:59" ht="61.5" thickBot="1" x14ac:dyDescent="0.25">
      <c r="B16" s="70"/>
      <c r="C16" s="78" t="e">
        <f>J16-#REF!</f>
        <v>#REF!</v>
      </c>
      <c r="D16" s="61" t="s">
        <v>136</v>
      </c>
      <c r="E16" s="83"/>
      <c r="F16" s="83"/>
      <c r="G16" s="84" t="s">
        <v>127</v>
      </c>
      <c r="H16" s="84" t="s">
        <v>112</v>
      </c>
      <c r="I16" s="85" t="s">
        <v>137</v>
      </c>
      <c r="J16" s="86">
        <v>153200</v>
      </c>
      <c r="K16" s="87">
        <v>127269.69</v>
      </c>
      <c r="L16" s="87">
        <v>25930.31</v>
      </c>
      <c r="M16" s="87">
        <v>0</v>
      </c>
      <c r="N16" s="87">
        <v>0</v>
      </c>
      <c r="O16" s="87">
        <v>0</v>
      </c>
      <c r="P16" s="87"/>
      <c r="Q16" s="87"/>
      <c r="R16" s="87">
        <v>153200</v>
      </c>
      <c r="S16" s="87">
        <v>153200</v>
      </c>
      <c r="T16" s="87"/>
      <c r="U16" s="87"/>
      <c r="V16" s="87"/>
      <c r="W16" s="87"/>
      <c r="X16" s="81">
        <f t="shared" si="0"/>
        <v>0</v>
      </c>
      <c r="Y16" s="81">
        <f t="shared" si="1"/>
        <v>0</v>
      </c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1">
        <v>0</v>
      </c>
      <c r="AM16" s="87"/>
      <c r="AN16" s="81">
        <v>0</v>
      </c>
      <c r="AO16" s="81"/>
      <c r="AP16" s="81">
        <v>0</v>
      </c>
      <c r="AQ16" s="87"/>
      <c r="AR16" s="81" t="e">
        <f>AQ16-#REF!-#REF!-#REF!</f>
        <v>#REF!</v>
      </c>
      <c r="AS16" s="87"/>
      <c r="AT16" s="87"/>
      <c r="AU16" s="87"/>
      <c r="AV16" s="87">
        <f t="shared" si="3"/>
        <v>0</v>
      </c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8"/>
    </row>
    <row r="17" spans="2:59" ht="61.5" thickBot="1" x14ac:dyDescent="0.25">
      <c r="B17" s="70"/>
      <c r="C17" s="78" t="e">
        <f>J17-#REF!</f>
        <v>#REF!</v>
      </c>
      <c r="D17" s="61" t="s">
        <v>138</v>
      </c>
      <c r="E17" s="83"/>
      <c r="F17" s="83"/>
      <c r="G17" s="84" t="s">
        <v>127</v>
      </c>
      <c r="H17" s="84" t="s">
        <v>112</v>
      </c>
      <c r="I17" s="85" t="s">
        <v>139</v>
      </c>
      <c r="J17" s="86">
        <f>128450-56150</f>
        <v>72300</v>
      </c>
      <c r="K17" s="87">
        <v>35748.06</v>
      </c>
      <c r="L17" s="87">
        <v>36551.94</v>
      </c>
      <c r="M17" s="87">
        <v>0</v>
      </c>
      <c r="N17" s="87">
        <v>0</v>
      </c>
      <c r="O17" s="87">
        <v>0</v>
      </c>
      <c r="P17" s="87"/>
      <c r="Q17" s="87"/>
      <c r="R17" s="87">
        <v>72300</v>
      </c>
      <c r="S17" s="87">
        <v>128450</v>
      </c>
      <c r="T17" s="87"/>
      <c r="U17" s="87"/>
      <c r="V17" s="87"/>
      <c r="W17" s="87"/>
      <c r="X17" s="81">
        <f t="shared" si="0"/>
        <v>0</v>
      </c>
      <c r="Y17" s="81">
        <f t="shared" si="1"/>
        <v>0</v>
      </c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1">
        <v>0</v>
      </c>
      <c r="AM17" s="87"/>
      <c r="AN17" s="81">
        <v>0</v>
      </c>
      <c r="AO17" s="81"/>
      <c r="AP17" s="81">
        <v>0</v>
      </c>
      <c r="AQ17" s="87"/>
      <c r="AR17" s="81" t="e">
        <f>AQ17-#REF!-#REF!-#REF!</f>
        <v>#REF!</v>
      </c>
      <c r="AS17" s="87"/>
      <c r="AT17" s="87"/>
      <c r="AU17" s="87"/>
      <c r="AV17" s="87">
        <f t="shared" si="3"/>
        <v>0</v>
      </c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8"/>
    </row>
    <row r="18" spans="2:59" ht="61.5" thickBot="1" x14ac:dyDescent="0.25">
      <c r="B18" s="70"/>
      <c r="C18" s="78" t="e">
        <f>J18-#REF!</f>
        <v>#REF!</v>
      </c>
      <c r="D18" s="61" t="s">
        <v>140</v>
      </c>
      <c r="E18" s="83"/>
      <c r="F18" s="83"/>
      <c r="G18" s="84" t="s">
        <v>127</v>
      </c>
      <c r="H18" s="84" t="s">
        <v>112</v>
      </c>
      <c r="I18" s="85" t="s">
        <v>141</v>
      </c>
      <c r="J18" s="86">
        <v>225000</v>
      </c>
      <c r="K18" s="87">
        <v>272.06</v>
      </c>
      <c r="L18" s="87">
        <v>224727.94</v>
      </c>
      <c r="M18" s="87">
        <v>0</v>
      </c>
      <c r="N18" s="87">
        <v>0</v>
      </c>
      <c r="O18" s="87">
        <v>0</v>
      </c>
      <c r="P18" s="87"/>
      <c r="Q18" s="87"/>
      <c r="R18" s="87">
        <v>179000</v>
      </c>
      <c r="S18" s="87">
        <v>122850</v>
      </c>
      <c r="T18" s="87"/>
      <c r="U18" s="87"/>
      <c r="V18" s="87"/>
      <c r="W18" s="87"/>
      <c r="X18" s="81">
        <f t="shared" si="0"/>
        <v>0</v>
      </c>
      <c r="Y18" s="81">
        <f t="shared" si="1"/>
        <v>0</v>
      </c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1">
        <v>0</v>
      </c>
      <c r="AM18" s="87"/>
      <c r="AN18" s="81">
        <v>0</v>
      </c>
      <c r="AO18" s="81"/>
      <c r="AP18" s="81">
        <v>0</v>
      </c>
      <c r="AQ18" s="87"/>
      <c r="AR18" s="81" t="e">
        <f>AQ18-#REF!-#REF!-#REF!</f>
        <v>#REF!</v>
      </c>
      <c r="AS18" s="87"/>
      <c r="AT18" s="87"/>
      <c r="AU18" s="87"/>
      <c r="AV18" s="87">
        <f t="shared" si="3"/>
        <v>0</v>
      </c>
      <c r="AW18" s="87"/>
      <c r="AX18" s="87"/>
      <c r="AY18" s="87"/>
      <c r="AZ18" s="87"/>
      <c r="BA18" s="87"/>
      <c r="BB18" s="87"/>
      <c r="BC18" s="87"/>
      <c r="BD18" s="87">
        <v>46000</v>
      </c>
      <c r="BE18" s="87"/>
      <c r="BF18" s="87"/>
      <c r="BG18" s="89"/>
    </row>
    <row r="19" spans="2:59" ht="106.5" customHeight="1" thickBot="1" x14ac:dyDescent="0.25">
      <c r="B19" s="70"/>
      <c r="C19" s="78" t="e">
        <f>J19-#REF!</f>
        <v>#REF!</v>
      </c>
      <c r="D19" s="61" t="s">
        <v>142</v>
      </c>
      <c r="E19" s="83"/>
      <c r="F19" s="83"/>
      <c r="G19" s="84" t="s">
        <v>127</v>
      </c>
      <c r="H19" s="84" t="s">
        <v>112</v>
      </c>
      <c r="I19" s="85" t="s">
        <v>143</v>
      </c>
      <c r="J19" s="86">
        <v>113590</v>
      </c>
      <c r="K19" s="87">
        <v>90000</v>
      </c>
      <c r="L19" s="87">
        <v>23590</v>
      </c>
      <c r="M19" s="87">
        <v>0</v>
      </c>
      <c r="N19" s="87">
        <v>0</v>
      </c>
      <c r="O19" s="87">
        <v>0</v>
      </c>
      <c r="P19" s="87"/>
      <c r="Q19" s="87"/>
      <c r="R19" s="87">
        <v>113590</v>
      </c>
      <c r="S19" s="87">
        <v>113590</v>
      </c>
      <c r="T19" s="87"/>
      <c r="U19" s="87"/>
      <c r="V19" s="87"/>
      <c r="W19" s="87"/>
      <c r="X19" s="81">
        <f t="shared" si="0"/>
        <v>0</v>
      </c>
      <c r="Y19" s="81">
        <f t="shared" si="1"/>
        <v>0</v>
      </c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7"/>
      <c r="AL19" s="81">
        <v>0</v>
      </c>
      <c r="AM19" s="87"/>
      <c r="AN19" s="81">
        <v>0</v>
      </c>
      <c r="AO19" s="81"/>
      <c r="AP19" s="81">
        <v>0</v>
      </c>
      <c r="AQ19" s="87"/>
      <c r="AR19" s="81" t="e">
        <f>AQ19-#REF!-#REF!-#REF!</f>
        <v>#REF!</v>
      </c>
      <c r="AS19" s="87"/>
      <c r="AT19" s="87"/>
      <c r="AU19" s="87"/>
      <c r="AV19" s="87">
        <f t="shared" si="3"/>
        <v>0</v>
      </c>
      <c r="AW19" s="87"/>
      <c r="AX19" s="87"/>
      <c r="AY19" s="87"/>
      <c r="AZ19" s="87"/>
      <c r="BA19" s="87"/>
      <c r="BB19" s="87"/>
      <c r="BC19" s="87"/>
      <c r="BD19" s="87"/>
      <c r="BE19" s="87"/>
      <c r="BF19" s="87"/>
      <c r="BG19" s="88"/>
    </row>
    <row r="20" spans="2:59" ht="82.5" customHeight="1" thickBot="1" x14ac:dyDescent="0.25">
      <c r="B20" s="70"/>
      <c r="C20" s="78" t="e">
        <f>J20-#REF!</f>
        <v>#REF!</v>
      </c>
      <c r="D20" s="61" t="s">
        <v>144</v>
      </c>
      <c r="E20" s="83"/>
      <c r="F20" s="83"/>
      <c r="G20" s="84" t="s">
        <v>127</v>
      </c>
      <c r="H20" s="84" t="s">
        <v>112</v>
      </c>
      <c r="I20" s="85" t="s">
        <v>145</v>
      </c>
      <c r="J20" s="86">
        <v>112400</v>
      </c>
      <c r="K20" s="87">
        <v>19720.95</v>
      </c>
      <c r="L20" s="87">
        <v>92679.05</v>
      </c>
      <c r="M20" s="87">
        <v>0</v>
      </c>
      <c r="N20" s="87">
        <v>0</v>
      </c>
      <c r="O20" s="87">
        <v>0</v>
      </c>
      <c r="P20" s="87"/>
      <c r="Q20" s="87"/>
      <c r="R20" s="87">
        <v>112400</v>
      </c>
      <c r="S20" s="87">
        <v>112400</v>
      </c>
      <c r="T20" s="87"/>
      <c r="U20" s="87"/>
      <c r="V20" s="87"/>
      <c r="W20" s="87"/>
      <c r="X20" s="81">
        <f t="shared" si="0"/>
        <v>0</v>
      </c>
      <c r="Y20" s="81">
        <f t="shared" si="1"/>
        <v>0</v>
      </c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1">
        <v>0</v>
      </c>
      <c r="AM20" s="87"/>
      <c r="AN20" s="81">
        <v>0</v>
      </c>
      <c r="AO20" s="81"/>
      <c r="AP20" s="81">
        <v>0</v>
      </c>
      <c r="AQ20" s="87"/>
      <c r="AR20" s="81" t="e">
        <f>AQ20-#REF!-#REF!-#REF!</f>
        <v>#REF!</v>
      </c>
      <c r="AS20" s="87"/>
      <c r="AT20" s="87"/>
      <c r="AU20" s="87"/>
      <c r="AV20" s="87">
        <f t="shared" si="3"/>
        <v>0</v>
      </c>
      <c r="AW20" s="87"/>
      <c r="AX20" s="87"/>
      <c r="AY20" s="87"/>
      <c r="AZ20" s="87"/>
      <c r="BA20" s="87"/>
      <c r="BB20" s="87"/>
      <c r="BC20" s="87"/>
      <c r="BD20" s="87"/>
      <c r="BE20" s="87"/>
      <c r="BF20" s="87"/>
      <c r="BG20" s="88"/>
    </row>
    <row r="21" spans="2:59" ht="73.5" customHeight="1" thickBot="1" x14ac:dyDescent="0.25">
      <c r="B21" s="70"/>
      <c r="C21" s="78" t="e">
        <f>J21-#REF!</f>
        <v>#REF!</v>
      </c>
      <c r="D21" s="61" t="s">
        <v>146</v>
      </c>
      <c r="E21" s="83"/>
      <c r="F21" s="83"/>
      <c r="G21" s="84" t="s">
        <v>127</v>
      </c>
      <c r="H21" s="84" t="s">
        <v>112</v>
      </c>
      <c r="I21" s="85" t="s">
        <v>147</v>
      </c>
      <c r="J21" s="86">
        <v>71400</v>
      </c>
      <c r="K21" s="87">
        <v>8259.4</v>
      </c>
      <c r="L21" s="87">
        <v>63140.6</v>
      </c>
      <c r="M21" s="87">
        <v>0</v>
      </c>
      <c r="N21" s="87">
        <v>0</v>
      </c>
      <c r="O21" s="87">
        <v>0</v>
      </c>
      <c r="P21" s="87"/>
      <c r="Q21" s="87"/>
      <c r="R21" s="87">
        <v>71400</v>
      </c>
      <c r="S21" s="87">
        <v>71400</v>
      </c>
      <c r="T21" s="87"/>
      <c r="U21" s="87"/>
      <c r="V21" s="87"/>
      <c r="W21" s="87"/>
      <c r="X21" s="81">
        <f t="shared" si="0"/>
        <v>0</v>
      </c>
      <c r="Y21" s="81">
        <f t="shared" si="1"/>
        <v>0</v>
      </c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1">
        <v>0</v>
      </c>
      <c r="AM21" s="87"/>
      <c r="AN21" s="81">
        <v>0</v>
      </c>
      <c r="AO21" s="81"/>
      <c r="AP21" s="81">
        <v>0</v>
      </c>
      <c r="AQ21" s="87"/>
      <c r="AR21" s="81" t="e">
        <f>AQ21-#REF!-#REF!-#REF!</f>
        <v>#REF!</v>
      </c>
      <c r="AS21" s="87"/>
      <c r="AT21" s="87"/>
      <c r="AU21" s="87"/>
      <c r="AV21" s="87">
        <f t="shared" si="3"/>
        <v>0</v>
      </c>
      <c r="AW21" s="87"/>
      <c r="AX21" s="87"/>
      <c r="AY21" s="87"/>
      <c r="AZ21" s="87"/>
      <c r="BA21" s="87"/>
      <c r="BB21" s="87"/>
      <c r="BC21" s="87"/>
      <c r="BD21" s="87"/>
      <c r="BE21" s="87"/>
      <c r="BF21" s="87"/>
      <c r="BG21" s="88"/>
    </row>
    <row r="22" spans="2:59" ht="61.5" thickBot="1" x14ac:dyDescent="0.25">
      <c r="B22" s="70"/>
      <c r="C22" s="78" t="e">
        <f>J22-#REF!</f>
        <v>#REF!</v>
      </c>
      <c r="D22" s="61" t="s">
        <v>148</v>
      </c>
      <c r="E22" s="83"/>
      <c r="F22" s="83"/>
      <c r="G22" s="84" t="s">
        <v>127</v>
      </c>
      <c r="H22" s="84" t="s">
        <v>112</v>
      </c>
      <c r="I22" s="85" t="s">
        <v>149</v>
      </c>
      <c r="J22" s="86">
        <v>60000</v>
      </c>
      <c r="K22" s="87">
        <v>34239.29</v>
      </c>
      <c r="L22" s="87">
        <v>25760.71</v>
      </c>
      <c r="M22" s="87">
        <v>0</v>
      </c>
      <c r="N22" s="87">
        <v>0</v>
      </c>
      <c r="O22" s="87">
        <v>0</v>
      </c>
      <c r="P22" s="87"/>
      <c r="Q22" s="87"/>
      <c r="R22" s="87">
        <v>60000</v>
      </c>
      <c r="S22" s="87">
        <v>60000</v>
      </c>
      <c r="T22" s="87"/>
      <c r="U22" s="87"/>
      <c r="V22" s="87"/>
      <c r="W22" s="87"/>
      <c r="X22" s="81">
        <f t="shared" si="0"/>
        <v>0</v>
      </c>
      <c r="Y22" s="81">
        <f t="shared" si="1"/>
        <v>0</v>
      </c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1">
        <v>0</v>
      </c>
      <c r="AM22" s="87"/>
      <c r="AN22" s="81">
        <v>0</v>
      </c>
      <c r="AO22" s="81"/>
      <c r="AP22" s="81">
        <v>0</v>
      </c>
      <c r="AQ22" s="87"/>
      <c r="AR22" s="81" t="e">
        <f>AQ22-#REF!-#REF!-#REF!</f>
        <v>#REF!</v>
      </c>
      <c r="AS22" s="87"/>
      <c r="AT22" s="87"/>
      <c r="AU22" s="87"/>
      <c r="AV22" s="87">
        <f t="shared" si="3"/>
        <v>0</v>
      </c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8"/>
    </row>
    <row r="23" spans="2:59" ht="90" customHeight="1" thickBot="1" x14ac:dyDescent="0.25">
      <c r="B23" s="70"/>
      <c r="C23" s="78" t="e">
        <f>J23-#REF!</f>
        <v>#REF!</v>
      </c>
      <c r="D23" s="61" t="s">
        <v>150</v>
      </c>
      <c r="E23" s="83"/>
      <c r="F23" s="83"/>
      <c r="G23" s="84" t="s">
        <v>127</v>
      </c>
      <c r="H23" s="84" t="s">
        <v>112</v>
      </c>
      <c r="I23" s="85" t="s">
        <v>151</v>
      </c>
      <c r="J23" s="86">
        <v>54930</v>
      </c>
      <c r="K23" s="87">
        <v>268.39</v>
      </c>
      <c r="L23" s="87">
        <v>54661.61</v>
      </c>
      <c r="M23" s="87">
        <v>0</v>
      </c>
      <c r="N23" s="87">
        <v>0</v>
      </c>
      <c r="O23" s="87">
        <v>0</v>
      </c>
      <c r="P23" s="87"/>
      <c r="Q23" s="87"/>
      <c r="R23" s="87">
        <v>54930</v>
      </c>
      <c r="S23" s="87">
        <v>54930</v>
      </c>
      <c r="T23" s="87"/>
      <c r="U23" s="87"/>
      <c r="V23" s="87"/>
      <c r="W23" s="87"/>
      <c r="X23" s="81">
        <f t="shared" si="0"/>
        <v>0</v>
      </c>
      <c r="Y23" s="81">
        <f t="shared" si="1"/>
        <v>0</v>
      </c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1">
        <v>0</v>
      </c>
      <c r="AM23" s="87"/>
      <c r="AN23" s="81">
        <v>0</v>
      </c>
      <c r="AO23" s="81"/>
      <c r="AP23" s="81">
        <v>0</v>
      </c>
      <c r="AQ23" s="87"/>
      <c r="AR23" s="81" t="e">
        <f>AQ23-#REF!-#REF!-#REF!</f>
        <v>#REF!</v>
      </c>
      <c r="AS23" s="87"/>
      <c r="AT23" s="87"/>
      <c r="AU23" s="87"/>
      <c r="AV23" s="87">
        <f t="shared" si="3"/>
        <v>0</v>
      </c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8"/>
    </row>
    <row r="24" spans="2:59" ht="79.5" customHeight="1" thickBot="1" x14ac:dyDescent="0.25">
      <c r="B24" s="70"/>
      <c r="C24" s="78" t="e">
        <f>J24-#REF!</f>
        <v>#REF!</v>
      </c>
      <c r="D24" s="61" t="s">
        <v>152</v>
      </c>
      <c r="E24" s="83"/>
      <c r="F24" s="83"/>
      <c r="G24" s="84" t="s">
        <v>127</v>
      </c>
      <c r="H24" s="84" t="s">
        <v>112</v>
      </c>
      <c r="I24" s="85" t="s">
        <v>153</v>
      </c>
      <c r="J24" s="86">
        <v>54531</v>
      </c>
      <c r="K24" s="87">
        <v>36544.090000000004</v>
      </c>
      <c r="L24" s="87">
        <v>17986.91</v>
      </c>
      <c r="M24" s="87">
        <v>0</v>
      </c>
      <c r="N24" s="87">
        <v>0</v>
      </c>
      <c r="O24" s="87">
        <v>0</v>
      </c>
      <c r="P24" s="87"/>
      <c r="Q24" s="87"/>
      <c r="R24" s="87">
        <v>54531</v>
      </c>
      <c r="S24" s="87">
        <v>54531</v>
      </c>
      <c r="T24" s="87"/>
      <c r="U24" s="87"/>
      <c r="V24" s="87"/>
      <c r="W24" s="87"/>
      <c r="X24" s="81">
        <f t="shared" si="0"/>
        <v>0</v>
      </c>
      <c r="Y24" s="81">
        <f t="shared" si="1"/>
        <v>0</v>
      </c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1">
        <v>0</v>
      </c>
      <c r="AM24" s="87"/>
      <c r="AN24" s="81">
        <v>0</v>
      </c>
      <c r="AO24" s="81"/>
      <c r="AP24" s="81">
        <v>0</v>
      </c>
      <c r="AQ24" s="87"/>
      <c r="AR24" s="81" t="e">
        <f>AQ24-#REF!-#REF!-#REF!</f>
        <v>#REF!</v>
      </c>
      <c r="AS24" s="87"/>
      <c r="AT24" s="87"/>
      <c r="AU24" s="87"/>
      <c r="AV24" s="87">
        <f t="shared" si="3"/>
        <v>0</v>
      </c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8"/>
    </row>
    <row r="25" spans="2:59" ht="150" customHeight="1" thickBot="1" x14ac:dyDescent="0.25">
      <c r="B25" s="70"/>
      <c r="C25" s="78" t="e">
        <f>J25-#REF!</f>
        <v>#REF!</v>
      </c>
      <c r="D25" s="61" t="s">
        <v>154</v>
      </c>
      <c r="E25" s="83"/>
      <c r="F25" s="83">
        <v>63003</v>
      </c>
      <c r="G25" s="84" t="s">
        <v>155</v>
      </c>
      <c r="H25" s="84" t="s">
        <v>112</v>
      </c>
      <c r="I25" s="85" t="s">
        <v>156</v>
      </c>
      <c r="J25" s="86">
        <f>41300000+323000</f>
        <v>41623000</v>
      </c>
      <c r="K25" s="87">
        <f>17719575.35+23431500+80.11</f>
        <v>41151155.460000001</v>
      </c>
      <c r="L25" s="87">
        <f>254634.65+217209.89</f>
        <v>471844.54000000004</v>
      </c>
      <c r="M25" s="87">
        <v>0</v>
      </c>
      <c r="N25" s="87">
        <v>0</v>
      </c>
      <c r="O25" s="87">
        <v>0</v>
      </c>
      <c r="P25" s="87"/>
      <c r="Q25" s="87"/>
      <c r="R25" s="87"/>
      <c r="S25" s="87"/>
      <c r="T25" s="87"/>
      <c r="U25" s="87"/>
      <c r="V25" s="87"/>
      <c r="W25" s="81">
        <f>24457000-8438871.05</f>
        <v>16018128.949999999</v>
      </c>
      <c r="X25" s="81">
        <f t="shared" si="0"/>
        <v>0</v>
      </c>
      <c r="Y25" s="81">
        <f t="shared" si="1"/>
        <v>0</v>
      </c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1">
        <v>0</v>
      </c>
      <c r="AM25" s="87"/>
      <c r="AN25" s="81">
        <v>0</v>
      </c>
      <c r="AO25" s="87">
        <v>471844.54</v>
      </c>
      <c r="AP25" s="81">
        <v>0</v>
      </c>
      <c r="AQ25" s="87">
        <f>AS25+AT25+AU25</f>
        <v>1027776.5600000008</v>
      </c>
      <c r="AR25" s="81" t="e">
        <f>AQ25-#REF!-#REF!-#REF!</f>
        <v>#REF!</v>
      </c>
      <c r="AS25" s="87">
        <f>8438871.05+2700000-2700000-8000000</f>
        <v>438871.05000000075</v>
      </c>
      <c r="AT25" s="87">
        <f>1588905.51-1000000</f>
        <v>588905.51</v>
      </c>
      <c r="AU25" s="87"/>
      <c r="AV25" s="87">
        <f t="shared" si="3"/>
        <v>1038071.66</v>
      </c>
      <c r="AW25" s="87">
        <v>123619.17</v>
      </c>
      <c r="AX25" s="87"/>
      <c r="AY25" s="87">
        <v>884912.49</v>
      </c>
      <c r="AZ25" s="87">
        <v>29540</v>
      </c>
      <c r="BA25" s="87">
        <f>SUM(BB25:BC25)</f>
        <v>663454.85000000603</v>
      </c>
      <c r="BB25" s="87"/>
      <c r="BC25" s="87">
        <f>156528.02+506926.830000006</f>
        <v>663454.85000000603</v>
      </c>
      <c r="BD25" s="87">
        <v>23431500</v>
      </c>
      <c r="BE25" s="87">
        <v>23431500</v>
      </c>
      <c r="BF25" s="87"/>
      <c r="BG25" s="88"/>
    </row>
    <row r="26" spans="2:59" ht="129" customHeight="1" thickBot="1" x14ac:dyDescent="0.25">
      <c r="B26" s="70"/>
      <c r="C26" s="78" t="e">
        <f>J26-#REF!</f>
        <v>#REF!</v>
      </c>
      <c r="D26" s="61" t="s">
        <v>157</v>
      </c>
      <c r="E26" s="83"/>
      <c r="F26" s="83">
        <v>63003</v>
      </c>
      <c r="G26" s="84"/>
      <c r="H26" s="84" t="s">
        <v>112</v>
      </c>
      <c r="I26" s="85" t="s">
        <v>158</v>
      </c>
      <c r="J26" s="86">
        <v>30900000</v>
      </c>
      <c r="K26" s="87">
        <v>0</v>
      </c>
      <c r="L26" s="87">
        <v>400000</v>
      </c>
      <c r="M26" s="87">
        <v>2100000</v>
      </c>
      <c r="N26" s="87">
        <v>11000000</v>
      </c>
      <c r="O26" s="87">
        <v>17400000</v>
      </c>
      <c r="P26" s="87"/>
      <c r="Q26" s="87"/>
      <c r="R26" s="87"/>
      <c r="S26" s="87"/>
      <c r="T26" s="87"/>
      <c r="U26" s="87"/>
      <c r="V26" s="87"/>
      <c r="W26" s="87"/>
      <c r="X26" s="81">
        <f t="shared" si="0"/>
        <v>0</v>
      </c>
      <c r="Y26" s="81">
        <f t="shared" si="1"/>
        <v>0</v>
      </c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1">
        <v>0</v>
      </c>
      <c r="AM26" s="87"/>
      <c r="AN26" s="81">
        <v>0</v>
      </c>
      <c r="AO26" s="87">
        <v>196339.11</v>
      </c>
      <c r="AP26" s="81">
        <v>22314800</v>
      </c>
      <c r="AQ26" s="87"/>
      <c r="AR26" s="81" t="e">
        <f>AQ26-#REF!-#REF!-#REF!</f>
        <v>#REF!</v>
      </c>
      <c r="AS26" s="87"/>
      <c r="AT26" s="87"/>
      <c r="AU26" s="87"/>
      <c r="AV26" s="87">
        <f t="shared" si="3"/>
        <v>4750000</v>
      </c>
      <c r="AW26" s="87">
        <v>6380.83</v>
      </c>
      <c r="AX26" s="87"/>
      <c r="AY26" s="87">
        <v>58419.17</v>
      </c>
      <c r="AZ26" s="87">
        <f>4750000-6380.83-58419.17</f>
        <v>4685200</v>
      </c>
      <c r="BA26" s="87">
        <f>SUM(BB26:BC26)</f>
        <v>138860.89000000001</v>
      </c>
      <c r="BB26" s="87"/>
      <c r="BC26" s="87">
        <v>138860.89000000001</v>
      </c>
      <c r="BD26" s="87"/>
      <c r="BE26" s="87"/>
      <c r="BF26" s="87"/>
      <c r="BG26" s="88">
        <v>3500000</v>
      </c>
    </row>
    <row r="27" spans="2:59" ht="150" customHeight="1" thickBot="1" x14ac:dyDescent="0.25">
      <c r="B27" s="70"/>
      <c r="C27" s="78" t="e">
        <f>J27-#REF!</f>
        <v>#REF!</v>
      </c>
      <c r="D27" s="61" t="s">
        <v>159</v>
      </c>
      <c r="E27" s="83"/>
      <c r="F27" s="83"/>
      <c r="G27" s="84"/>
      <c r="H27" s="84" t="s">
        <v>160</v>
      </c>
      <c r="I27" s="85" t="s">
        <v>161</v>
      </c>
      <c r="J27" s="86">
        <v>5263650</v>
      </c>
      <c r="K27" s="87">
        <v>45188.160000000003</v>
      </c>
      <c r="L27" s="87">
        <v>150000</v>
      </c>
      <c r="M27" s="87">
        <v>1000000</v>
      </c>
      <c r="N27" s="87">
        <v>1000000</v>
      </c>
      <c r="O27" s="87">
        <v>3068461.84</v>
      </c>
      <c r="P27" s="87"/>
      <c r="Q27" s="87"/>
      <c r="R27" s="87"/>
      <c r="S27" s="87"/>
      <c r="T27" s="87"/>
      <c r="U27" s="87"/>
      <c r="V27" s="87"/>
      <c r="W27" s="87"/>
      <c r="X27" s="81">
        <f t="shared" si="0"/>
        <v>0</v>
      </c>
      <c r="Y27" s="81">
        <f t="shared" si="1"/>
        <v>0</v>
      </c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1">
        <v>45188.160000000003</v>
      </c>
      <c r="AM27" s="87"/>
      <c r="AN27" s="81">
        <v>45188.160000000003</v>
      </c>
      <c r="AO27" s="87">
        <v>150000</v>
      </c>
      <c r="AP27" s="81">
        <v>2000000</v>
      </c>
      <c r="AQ27" s="87">
        <f>AS27+AT27+AU27</f>
        <v>500000</v>
      </c>
      <c r="AR27" s="81" t="e">
        <f>AQ27-#REF!-#REF!-#REF!</f>
        <v>#REF!</v>
      </c>
      <c r="AS27" s="87"/>
      <c r="AT27" s="87">
        <v>500000</v>
      </c>
      <c r="AU27" s="87"/>
      <c r="AV27" s="87">
        <f t="shared" si="3"/>
        <v>3068461.84</v>
      </c>
      <c r="AW27" s="87"/>
      <c r="AX27" s="87"/>
      <c r="AY27" s="87"/>
      <c r="AZ27" s="87">
        <v>3068461.84</v>
      </c>
      <c r="BA27" s="87"/>
      <c r="BB27" s="87"/>
      <c r="BC27" s="87"/>
      <c r="BD27" s="87"/>
      <c r="BE27" s="87"/>
      <c r="BF27" s="87"/>
      <c r="BG27" s="88"/>
    </row>
    <row r="28" spans="2:59" ht="115.5" customHeight="1" thickBot="1" x14ac:dyDescent="0.25">
      <c r="B28" s="70"/>
      <c r="C28" s="78" t="e">
        <f>J28-#REF!</f>
        <v>#REF!</v>
      </c>
      <c r="D28" s="61" t="s">
        <v>162</v>
      </c>
      <c r="E28" s="83"/>
      <c r="F28" s="83"/>
      <c r="G28" s="84"/>
      <c r="H28" s="84" t="s">
        <v>160</v>
      </c>
      <c r="I28" s="85" t="s">
        <v>163</v>
      </c>
      <c r="J28" s="86">
        <v>4099650</v>
      </c>
      <c r="K28" s="87">
        <v>6976</v>
      </c>
      <c r="L28" s="87">
        <v>200000</v>
      </c>
      <c r="M28" s="87">
        <v>1000000</v>
      </c>
      <c r="N28" s="87">
        <v>1000000</v>
      </c>
      <c r="O28" s="87">
        <v>1892674</v>
      </c>
      <c r="P28" s="87"/>
      <c r="Q28" s="87"/>
      <c r="R28" s="87"/>
      <c r="S28" s="87"/>
      <c r="T28" s="87"/>
      <c r="U28" s="87"/>
      <c r="V28" s="87"/>
      <c r="W28" s="87"/>
      <c r="X28" s="81">
        <f t="shared" si="0"/>
        <v>0</v>
      </c>
      <c r="Y28" s="81">
        <f t="shared" si="1"/>
        <v>0</v>
      </c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1">
        <v>6976</v>
      </c>
      <c r="AM28" s="87"/>
      <c r="AN28" s="81">
        <v>6976</v>
      </c>
      <c r="AO28" s="87">
        <v>200000</v>
      </c>
      <c r="AP28" s="81">
        <v>2000000</v>
      </c>
      <c r="AQ28" s="87">
        <f>AS28+AT28+AU28</f>
        <v>300000</v>
      </c>
      <c r="AR28" s="81" t="e">
        <f>AQ28-#REF!-#REF!-#REF!</f>
        <v>#REF!</v>
      </c>
      <c r="AS28" s="87"/>
      <c r="AT28" s="87">
        <f>1300000-1000000</f>
        <v>300000</v>
      </c>
      <c r="AU28" s="87"/>
      <c r="AV28" s="87">
        <f t="shared" si="3"/>
        <v>1892674</v>
      </c>
      <c r="AW28" s="87"/>
      <c r="AX28" s="87"/>
      <c r="AY28" s="87"/>
      <c r="AZ28" s="87">
        <v>1892674</v>
      </c>
      <c r="BA28" s="87">
        <f>BB28+BC28</f>
        <v>0</v>
      </c>
      <c r="BB28" s="87"/>
      <c r="BC28" s="87">
        <f>57500-57500</f>
        <v>0</v>
      </c>
      <c r="BD28" s="87"/>
      <c r="BE28" s="87"/>
      <c r="BF28" s="87"/>
      <c r="BG28" s="88"/>
    </row>
    <row r="29" spans="2:59" ht="66" customHeight="1" thickBot="1" x14ac:dyDescent="0.25">
      <c r="B29" s="70"/>
      <c r="C29" s="78" t="e">
        <f>J29-#REF!</f>
        <v>#REF!</v>
      </c>
      <c r="D29" s="61" t="s">
        <v>164</v>
      </c>
      <c r="E29" s="83"/>
      <c r="F29" s="83"/>
      <c r="G29" s="84"/>
      <c r="H29" s="84" t="s">
        <v>112</v>
      </c>
      <c r="I29" s="85" t="s">
        <v>165</v>
      </c>
      <c r="J29" s="86">
        <v>4011000</v>
      </c>
      <c r="K29" s="87">
        <f>59188.57+411000</f>
        <v>470188.57</v>
      </c>
      <c r="L29" s="87">
        <f>200000-200000+200000</f>
        <v>200000</v>
      </c>
      <c r="M29" s="87">
        <v>698811.43</v>
      </c>
      <c r="N29" s="87">
        <f>1642000+200000-200000</f>
        <v>1642000</v>
      </c>
      <c r="O29" s="87">
        <v>1000000</v>
      </c>
      <c r="P29" s="87"/>
      <c r="Q29" s="87"/>
      <c r="R29" s="87">
        <v>958000</v>
      </c>
      <c r="S29" s="87">
        <v>958000</v>
      </c>
      <c r="T29" s="87"/>
      <c r="U29" s="87"/>
      <c r="V29" s="87">
        <f>400000-400000</f>
        <v>0</v>
      </c>
      <c r="W29" s="87"/>
      <c r="X29" s="81">
        <f t="shared" si="0"/>
        <v>0</v>
      </c>
      <c r="Y29" s="81">
        <f t="shared" si="1"/>
        <v>0</v>
      </c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1">
        <v>0</v>
      </c>
      <c r="AM29" s="87"/>
      <c r="AN29" s="81">
        <v>0</v>
      </c>
      <c r="AO29" s="81">
        <v>200000</v>
      </c>
      <c r="AP29" s="81">
        <v>200000</v>
      </c>
      <c r="AQ29" s="87">
        <f>AS29+AT29+AU29</f>
        <v>400000</v>
      </c>
      <c r="AR29" s="81" t="e">
        <f>AQ29-#REF!-#REF!-#REF!</f>
        <v>#REF!</v>
      </c>
      <c r="AS29" s="87">
        <v>400000</v>
      </c>
      <c r="AT29" s="87"/>
      <c r="AU29" s="87"/>
      <c r="AV29" s="87">
        <f t="shared" si="3"/>
        <v>2242000</v>
      </c>
      <c r="AW29" s="87"/>
      <c r="AX29" s="87"/>
      <c r="AY29" s="87"/>
      <c r="AZ29" s="87">
        <v>2242000</v>
      </c>
      <c r="BA29" s="87"/>
      <c r="BB29" s="87"/>
      <c r="BC29" s="87"/>
      <c r="BD29" s="87">
        <v>411000</v>
      </c>
      <c r="BE29" s="87"/>
      <c r="BF29" s="87">
        <v>411000</v>
      </c>
      <c r="BG29" s="88"/>
    </row>
    <row r="30" spans="2:59" ht="63" customHeight="1" thickBot="1" x14ac:dyDescent="0.25">
      <c r="B30" s="70"/>
      <c r="C30" s="78" t="e">
        <f>J30-#REF!</f>
        <v>#REF!</v>
      </c>
      <c r="D30" s="61" t="s">
        <v>166</v>
      </c>
      <c r="E30" s="83"/>
      <c r="F30" s="83"/>
      <c r="G30" s="84"/>
      <c r="H30" s="84" t="s">
        <v>112</v>
      </c>
      <c r="I30" s="85" t="s">
        <v>167</v>
      </c>
      <c r="J30" s="86">
        <v>2482267</v>
      </c>
      <c r="K30" s="87">
        <v>201239.36</v>
      </c>
      <c r="L30" s="87">
        <v>100000</v>
      </c>
      <c r="M30" s="87">
        <v>765145.87</v>
      </c>
      <c r="N30" s="87">
        <v>1415881.77</v>
      </c>
      <c r="O30" s="87">
        <v>0</v>
      </c>
      <c r="P30" s="87"/>
      <c r="Q30" s="87"/>
      <c r="R30" s="87"/>
      <c r="S30" s="87"/>
      <c r="T30" s="87"/>
      <c r="U30" s="87"/>
      <c r="V30" s="87"/>
      <c r="W30" s="87"/>
      <c r="X30" s="81">
        <f t="shared" si="0"/>
        <v>0</v>
      </c>
      <c r="Y30" s="81">
        <f t="shared" si="1"/>
        <v>477555.36</v>
      </c>
      <c r="Z30" s="87"/>
      <c r="AA30" s="87"/>
      <c r="AB30" s="87"/>
      <c r="AC30" s="87">
        <v>477555.36</v>
      </c>
      <c r="AD30" s="87">
        <f>588829.87-588829.87</f>
        <v>0</v>
      </c>
      <c r="AE30" s="87"/>
      <c r="AF30" s="87"/>
      <c r="AG30" s="87"/>
      <c r="AH30" s="87"/>
      <c r="AI30" s="87"/>
      <c r="AJ30" s="87"/>
      <c r="AK30" s="87"/>
      <c r="AL30" s="81">
        <v>0</v>
      </c>
      <c r="AM30" s="87"/>
      <c r="AN30" s="81">
        <v>0</v>
      </c>
      <c r="AO30" s="81">
        <v>588829.87</v>
      </c>
      <c r="AP30" s="81">
        <v>0</v>
      </c>
      <c r="AQ30" s="87">
        <f>AS30+AT30+AU30</f>
        <v>0</v>
      </c>
      <c r="AR30" s="81" t="e">
        <f>AQ30-#REF!-#REF!-#REF!</f>
        <v>#REF!</v>
      </c>
      <c r="AS30" s="87"/>
      <c r="AT30" s="87">
        <f>275248.27-275248.27</f>
        <v>0</v>
      </c>
      <c r="AU30" s="87"/>
      <c r="AV30" s="87">
        <f t="shared" si="3"/>
        <v>275248.27</v>
      </c>
      <c r="AW30" s="87"/>
      <c r="AX30" s="87"/>
      <c r="AY30" s="87"/>
      <c r="AZ30" s="87">
        <v>275248.27</v>
      </c>
      <c r="BA30" s="87"/>
      <c r="BB30" s="87"/>
      <c r="BC30" s="87"/>
      <c r="BD30" s="87">
        <v>1140633.5</v>
      </c>
      <c r="BE30" s="87"/>
      <c r="BF30" s="87">
        <v>1249760.6399999999</v>
      </c>
      <c r="BG30" s="88"/>
    </row>
    <row r="31" spans="2:59" ht="48" customHeight="1" thickBot="1" x14ac:dyDescent="0.25">
      <c r="B31" s="70"/>
      <c r="C31" s="78" t="e">
        <f>J31-#REF!</f>
        <v>#REF!</v>
      </c>
      <c r="D31" s="61" t="s">
        <v>168</v>
      </c>
      <c r="E31" s="83"/>
      <c r="F31" s="83"/>
      <c r="G31" s="84"/>
      <c r="H31" s="84" t="s">
        <v>112</v>
      </c>
      <c r="I31" s="85" t="s">
        <v>169</v>
      </c>
      <c r="J31" s="86">
        <v>2298500</v>
      </c>
      <c r="K31" s="87">
        <v>0</v>
      </c>
      <c r="L31" s="87">
        <v>0</v>
      </c>
      <c r="M31" s="87">
        <v>0</v>
      </c>
      <c r="N31" s="87">
        <v>0</v>
      </c>
      <c r="O31" s="87">
        <v>2298500</v>
      </c>
      <c r="P31" s="87"/>
      <c r="Q31" s="87"/>
      <c r="R31" s="87"/>
      <c r="S31" s="87"/>
      <c r="T31" s="87"/>
      <c r="U31" s="87"/>
      <c r="V31" s="87"/>
      <c r="W31" s="87"/>
      <c r="X31" s="81">
        <f t="shared" si="0"/>
        <v>0</v>
      </c>
      <c r="Y31" s="81">
        <f t="shared" si="1"/>
        <v>0</v>
      </c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1">
        <v>0</v>
      </c>
      <c r="AM31" s="87"/>
      <c r="AN31" s="81">
        <v>0</v>
      </c>
      <c r="AO31" s="81"/>
      <c r="AP31" s="81">
        <v>0</v>
      </c>
      <c r="AQ31" s="87"/>
      <c r="AR31" s="81" t="e">
        <f>AQ31-#REF!-#REF!-#REF!</f>
        <v>#REF!</v>
      </c>
      <c r="AS31" s="87"/>
      <c r="AT31" s="87"/>
      <c r="AU31" s="87"/>
      <c r="AV31" s="87">
        <f t="shared" si="3"/>
        <v>0</v>
      </c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8">
        <v>2298500</v>
      </c>
    </row>
    <row r="32" spans="2:59" s="95" customFormat="1" ht="66" customHeight="1" x14ac:dyDescent="0.2">
      <c r="B32" s="90"/>
      <c r="C32" s="91" t="e">
        <f>J32-#REF!</f>
        <v>#REF!</v>
      </c>
      <c r="D32" s="61" t="s">
        <v>170</v>
      </c>
      <c r="E32" s="92"/>
      <c r="F32" s="92"/>
      <c r="G32" s="93"/>
      <c r="H32" s="93" t="s">
        <v>112</v>
      </c>
      <c r="I32" s="94" t="s">
        <v>171</v>
      </c>
      <c r="J32" s="86">
        <f>1832426.62+200000+300000</f>
        <v>2332426.62</v>
      </c>
      <c r="K32" s="87">
        <v>742929.54</v>
      </c>
      <c r="L32" s="87">
        <v>300000</v>
      </c>
      <c r="M32" s="87">
        <v>600000</v>
      </c>
      <c r="N32" s="87">
        <v>413796</v>
      </c>
      <c r="O32" s="87">
        <v>275701.08</v>
      </c>
      <c r="P32" s="87"/>
      <c r="Q32" s="87"/>
      <c r="R32" s="87"/>
      <c r="S32" s="87"/>
      <c r="T32" s="87"/>
      <c r="U32" s="87"/>
      <c r="V32" s="87"/>
      <c r="W32" s="87"/>
      <c r="X32" s="81">
        <f t="shared" si="0"/>
        <v>461052.19</v>
      </c>
      <c r="Y32" s="81">
        <f t="shared" si="1"/>
        <v>0</v>
      </c>
      <c r="Z32" s="87"/>
      <c r="AA32" s="87"/>
      <c r="AB32" s="87">
        <f>410060.32+50991.87</f>
        <v>461052.19</v>
      </c>
      <c r="AC32" s="87"/>
      <c r="AD32" s="87"/>
      <c r="AE32" s="87"/>
      <c r="AF32" s="87"/>
      <c r="AG32" s="87"/>
      <c r="AH32" s="87"/>
      <c r="AI32" s="87"/>
      <c r="AJ32" s="87"/>
      <c r="AK32" s="87"/>
      <c r="AL32" s="81">
        <v>110000</v>
      </c>
      <c r="AM32" s="87"/>
      <c r="AN32" s="81">
        <v>110000</v>
      </c>
      <c r="AO32" s="87">
        <v>300000</v>
      </c>
      <c r="AP32" s="81">
        <v>600000</v>
      </c>
      <c r="AQ32" s="87">
        <f>AS32+AT32+AU32</f>
        <v>443966</v>
      </c>
      <c r="AR32" s="81" t="e">
        <f>AQ32-#REF!-#REF!-#REF!</f>
        <v>#REF!</v>
      </c>
      <c r="AS32" s="87">
        <f>175000</f>
        <v>175000</v>
      </c>
      <c r="AT32" s="87">
        <f>68966+200000</f>
        <v>268966</v>
      </c>
      <c r="AU32" s="87"/>
      <c r="AV32" s="87">
        <f t="shared" si="3"/>
        <v>0</v>
      </c>
      <c r="AW32" s="87"/>
      <c r="AX32" s="87"/>
      <c r="AY32" s="87"/>
      <c r="AZ32" s="87">
        <f>200000-200000</f>
        <v>0</v>
      </c>
      <c r="BA32" s="87">
        <f>BB32+BC32</f>
        <v>861374.43000000017</v>
      </c>
      <c r="BB32" s="87">
        <f>480761.2549604-400000</f>
        <v>80761.254960399994</v>
      </c>
      <c r="BC32" s="87">
        <f>782695.8650396+400000-266034-136048.69</f>
        <v>780613.17503960012</v>
      </c>
      <c r="BD32" s="87"/>
      <c r="BE32" s="87"/>
      <c r="BF32" s="87"/>
      <c r="BG32" s="88"/>
    </row>
    <row r="33" spans="2:59" ht="106.5" customHeight="1" x14ac:dyDescent="0.2">
      <c r="B33" s="70"/>
      <c r="C33" s="96" t="e">
        <f>J33-#REF!</f>
        <v>#REF!</v>
      </c>
      <c r="D33" s="61" t="s">
        <v>172</v>
      </c>
      <c r="E33" s="83"/>
      <c r="F33" s="83"/>
      <c r="G33" s="84"/>
      <c r="H33" s="84" t="s">
        <v>112</v>
      </c>
      <c r="I33" s="85" t="s">
        <v>173</v>
      </c>
      <c r="J33" s="86">
        <v>900000</v>
      </c>
      <c r="K33" s="87">
        <v>0</v>
      </c>
      <c r="L33" s="87">
        <v>180000</v>
      </c>
      <c r="M33" s="87">
        <v>720000</v>
      </c>
      <c r="N33" s="87">
        <v>0</v>
      </c>
      <c r="O33" s="87">
        <v>0</v>
      </c>
      <c r="P33" s="87"/>
      <c r="Q33" s="87"/>
      <c r="R33" s="87"/>
      <c r="S33" s="87"/>
      <c r="T33" s="87"/>
      <c r="U33" s="87"/>
      <c r="V33" s="87"/>
      <c r="W33" s="87"/>
      <c r="X33" s="81">
        <f t="shared" si="0"/>
        <v>0</v>
      </c>
      <c r="Y33" s="81">
        <f t="shared" si="1"/>
        <v>720000</v>
      </c>
      <c r="Z33" s="87"/>
      <c r="AA33" s="87">
        <v>720000</v>
      </c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1">
        <v>0</v>
      </c>
      <c r="AM33" s="87"/>
      <c r="AN33" s="81">
        <v>0</v>
      </c>
      <c r="AO33" s="81">
        <v>180000</v>
      </c>
      <c r="AP33" s="81">
        <v>0</v>
      </c>
      <c r="AQ33" s="87">
        <f>AS33+AT33+AU33</f>
        <v>300000</v>
      </c>
      <c r="AR33" s="81" t="e">
        <f>AQ33-#REF!-#REF!-#REF!</f>
        <v>#REF!</v>
      </c>
      <c r="AS33" s="87"/>
      <c r="AT33" s="87">
        <v>300000</v>
      </c>
      <c r="AU33" s="87"/>
      <c r="AV33" s="87">
        <f t="shared" si="3"/>
        <v>0</v>
      </c>
      <c r="AW33" s="87"/>
      <c r="AX33" s="87"/>
      <c r="AY33" s="87"/>
      <c r="AZ33" s="87">
        <f>720000-720000</f>
        <v>0</v>
      </c>
      <c r="BA33" s="87"/>
      <c r="BB33" s="87"/>
      <c r="BC33" s="87"/>
      <c r="BD33" s="87"/>
      <c r="BE33" s="87"/>
      <c r="BF33" s="87"/>
      <c r="BG33" s="88"/>
    </row>
    <row r="34" spans="2:59" ht="64.5" customHeight="1" x14ac:dyDescent="0.2">
      <c r="B34" s="70"/>
      <c r="C34" s="96" t="e">
        <f>J34-#REF!</f>
        <v>#REF!</v>
      </c>
      <c r="D34" s="61" t="s">
        <v>174</v>
      </c>
      <c r="E34" s="83"/>
      <c r="F34" s="83"/>
      <c r="G34" s="84"/>
      <c r="H34" s="84" t="s">
        <v>112</v>
      </c>
      <c r="I34" s="85" t="s">
        <v>175</v>
      </c>
      <c r="J34" s="86">
        <v>335000</v>
      </c>
      <c r="K34" s="87">
        <v>0</v>
      </c>
      <c r="L34" s="87">
        <v>135000</v>
      </c>
      <c r="M34" s="87">
        <v>200000</v>
      </c>
      <c r="N34" s="87">
        <v>0</v>
      </c>
      <c r="O34" s="87">
        <v>0</v>
      </c>
      <c r="P34" s="87"/>
      <c r="Q34" s="87"/>
      <c r="R34" s="87"/>
      <c r="S34" s="87"/>
      <c r="T34" s="87"/>
      <c r="U34" s="87"/>
      <c r="V34" s="87"/>
      <c r="W34" s="87"/>
      <c r="X34" s="81">
        <f t="shared" si="0"/>
        <v>0</v>
      </c>
      <c r="Y34" s="81">
        <f t="shared" si="1"/>
        <v>0</v>
      </c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1">
        <v>0</v>
      </c>
      <c r="AM34" s="87"/>
      <c r="AN34" s="81">
        <v>0</v>
      </c>
      <c r="AO34" s="81"/>
      <c r="AP34" s="81">
        <v>0</v>
      </c>
      <c r="AQ34" s="87"/>
      <c r="AR34" s="81" t="e">
        <f>AQ34-#REF!-#REF!-#REF!</f>
        <v>#REF!</v>
      </c>
      <c r="AS34" s="87"/>
      <c r="AT34" s="87"/>
      <c r="AU34" s="87"/>
      <c r="AV34" s="87">
        <f t="shared" si="3"/>
        <v>335000</v>
      </c>
      <c r="AW34" s="87"/>
      <c r="AX34" s="87"/>
      <c r="AY34" s="87"/>
      <c r="AZ34" s="87">
        <v>335000</v>
      </c>
      <c r="BA34" s="87"/>
      <c r="BB34" s="87"/>
      <c r="BC34" s="87"/>
      <c r="BD34" s="87"/>
      <c r="BE34" s="87"/>
      <c r="BF34" s="87"/>
      <c r="BG34" s="88"/>
    </row>
    <row r="35" spans="2:59" ht="84.75" customHeight="1" x14ac:dyDescent="0.2">
      <c r="B35" s="70"/>
      <c r="C35" s="96" t="e">
        <f>J35-#REF!</f>
        <v>#REF!</v>
      </c>
      <c r="D35" s="61" t="s">
        <v>176</v>
      </c>
      <c r="E35" s="83"/>
      <c r="F35" s="83">
        <v>63102</v>
      </c>
      <c r="G35" s="84" t="s">
        <v>177</v>
      </c>
      <c r="H35" s="84" t="s">
        <v>112</v>
      </c>
      <c r="I35" s="85" t="s">
        <v>178</v>
      </c>
      <c r="J35" s="86">
        <v>410000</v>
      </c>
      <c r="K35" s="87">
        <v>29963.409999999996</v>
      </c>
      <c r="L35" s="87">
        <v>380036.59</v>
      </c>
      <c r="M35" s="87">
        <v>0</v>
      </c>
      <c r="N35" s="87">
        <v>0</v>
      </c>
      <c r="O35" s="87">
        <v>0</v>
      </c>
      <c r="P35" s="87"/>
      <c r="Q35" s="87"/>
      <c r="R35" s="87"/>
      <c r="S35" s="87"/>
      <c r="T35" s="87"/>
      <c r="U35" s="87"/>
      <c r="V35" s="87"/>
      <c r="W35" s="87"/>
      <c r="X35" s="81">
        <f t="shared" si="0"/>
        <v>0</v>
      </c>
      <c r="Y35" s="81">
        <f t="shared" si="1"/>
        <v>0</v>
      </c>
      <c r="Z35" s="87"/>
      <c r="AA35" s="87"/>
      <c r="AB35" s="87">
        <f>196225.31-196225.31</f>
        <v>0</v>
      </c>
      <c r="AC35" s="87"/>
      <c r="AD35" s="87"/>
      <c r="AE35" s="87"/>
      <c r="AF35" s="87"/>
      <c r="AG35" s="87"/>
      <c r="AH35" s="87"/>
      <c r="AI35" s="87"/>
      <c r="AJ35" s="87"/>
      <c r="AK35" s="87"/>
      <c r="AL35" s="81">
        <v>12550.35</v>
      </c>
      <c r="AM35" s="87"/>
      <c r="AN35" s="81">
        <v>12550.35</v>
      </c>
      <c r="AO35" s="87">
        <v>380036.59</v>
      </c>
      <c r="AP35" s="81">
        <v>0</v>
      </c>
      <c r="AQ35" s="87">
        <f>AS35+AT35+AU35</f>
        <v>392586.94</v>
      </c>
      <c r="AR35" s="81" t="e">
        <f>AQ35-#REF!-#REF!-#REF!</f>
        <v>#REF!</v>
      </c>
      <c r="AS35" s="87">
        <v>196225.31</v>
      </c>
      <c r="AT35" s="87">
        <f>392586.94-196225.31</f>
        <v>196361.63</v>
      </c>
      <c r="AU35" s="87"/>
      <c r="AV35" s="87">
        <f t="shared" si="3"/>
        <v>0</v>
      </c>
      <c r="AW35" s="87"/>
      <c r="AX35" s="87"/>
      <c r="AY35" s="87"/>
      <c r="AZ35" s="87"/>
      <c r="BA35" s="87">
        <f>SUM(BB35:BC35)</f>
        <v>17413.059999999998</v>
      </c>
      <c r="BB35" s="87"/>
      <c r="BC35" s="87">
        <f>11069.06+6344</f>
        <v>17413.059999999998</v>
      </c>
      <c r="BD35" s="87"/>
      <c r="BE35" s="87"/>
      <c r="BF35" s="87"/>
      <c r="BG35" s="88"/>
    </row>
    <row r="36" spans="2:59" ht="91.5" customHeight="1" x14ac:dyDescent="0.2">
      <c r="B36" s="70"/>
      <c r="C36" s="96"/>
      <c r="D36" s="61" t="s">
        <v>179</v>
      </c>
      <c r="E36" s="97"/>
      <c r="F36" s="97"/>
      <c r="G36" s="98"/>
      <c r="H36" s="98"/>
      <c r="I36" s="85" t="s">
        <v>180</v>
      </c>
      <c r="J36" s="86">
        <v>720000</v>
      </c>
      <c r="K36" s="87">
        <v>0</v>
      </c>
      <c r="L36" s="87">
        <v>400000</v>
      </c>
      <c r="M36" s="87">
        <v>320000</v>
      </c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1">
        <f t="shared" si="0"/>
        <v>0</v>
      </c>
      <c r="Y36" s="81">
        <f t="shared" si="1"/>
        <v>135000</v>
      </c>
      <c r="Z36" s="87"/>
      <c r="AA36" s="87">
        <v>135000</v>
      </c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1">
        <v>0</v>
      </c>
      <c r="AM36" s="87"/>
      <c r="AN36" s="81">
        <v>0</v>
      </c>
      <c r="AO36" s="81">
        <v>485000</v>
      </c>
      <c r="AP36" s="81">
        <v>100000</v>
      </c>
      <c r="AQ36" s="87">
        <f>AS36+AT36+AU36</f>
        <v>250000</v>
      </c>
      <c r="AR36" s="81" t="e">
        <f>AQ36-#REF!-#REF!-#REF!</f>
        <v>#REF!</v>
      </c>
      <c r="AS36" s="87"/>
      <c r="AT36" s="87">
        <v>250000</v>
      </c>
      <c r="AU36" s="87"/>
      <c r="AV36" s="87">
        <f t="shared" si="3"/>
        <v>0</v>
      </c>
      <c r="AW36" s="87"/>
      <c r="AX36" s="87"/>
      <c r="AY36" s="87"/>
      <c r="AZ36" s="87">
        <f>135000-135000</f>
        <v>0</v>
      </c>
      <c r="BA36" s="87"/>
      <c r="BB36" s="87"/>
      <c r="BC36" s="87"/>
      <c r="BD36" s="87"/>
      <c r="BE36" s="87"/>
      <c r="BF36" s="87"/>
      <c r="BG36" s="88"/>
    </row>
    <row r="37" spans="2:59" ht="59.25" customHeight="1" x14ac:dyDescent="0.2">
      <c r="B37" s="70"/>
      <c r="C37" s="96"/>
      <c r="D37" s="61" t="s">
        <v>181</v>
      </c>
      <c r="E37" s="97"/>
      <c r="F37" s="97"/>
      <c r="G37" s="98"/>
      <c r="H37" s="98"/>
      <c r="I37" s="85" t="s">
        <v>182</v>
      </c>
      <c r="J37" s="86">
        <v>5900000</v>
      </c>
      <c r="K37" s="87">
        <v>0</v>
      </c>
      <c r="L37" s="87">
        <v>150000</v>
      </c>
      <c r="M37" s="87">
        <v>550000</v>
      </c>
      <c r="N37" s="87">
        <v>2600000</v>
      </c>
      <c r="O37" s="87">
        <v>2600000</v>
      </c>
      <c r="P37" s="87"/>
      <c r="Q37" s="87"/>
      <c r="R37" s="87"/>
      <c r="S37" s="87"/>
      <c r="T37" s="87"/>
      <c r="U37" s="87"/>
      <c r="V37" s="87"/>
      <c r="W37" s="87"/>
      <c r="X37" s="81">
        <f t="shared" si="0"/>
        <v>0</v>
      </c>
      <c r="Y37" s="81">
        <f t="shared" si="1"/>
        <v>0</v>
      </c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1">
        <v>0</v>
      </c>
      <c r="AM37" s="87"/>
      <c r="AN37" s="81">
        <v>0</v>
      </c>
      <c r="AO37" s="87">
        <v>150000</v>
      </c>
      <c r="AP37" s="81">
        <v>0</v>
      </c>
      <c r="AQ37" s="87">
        <f>AS37+AT37+AU37</f>
        <v>280000</v>
      </c>
      <c r="AR37" s="81" t="e">
        <f>AQ37-#REF!-#REF!-#REF!</f>
        <v>#REF!</v>
      </c>
      <c r="AS37" s="87"/>
      <c r="AT37" s="87">
        <v>280000</v>
      </c>
      <c r="AU37" s="87"/>
      <c r="AV37" s="87">
        <f t="shared" si="3"/>
        <v>3150000</v>
      </c>
      <c r="AW37" s="87"/>
      <c r="AX37" s="87"/>
      <c r="AY37" s="87"/>
      <c r="AZ37" s="87">
        <f>3500000-350000</f>
        <v>3150000</v>
      </c>
      <c r="BA37" s="87"/>
      <c r="BB37" s="87"/>
      <c r="BC37" s="87"/>
      <c r="BD37" s="87"/>
      <c r="BE37" s="87"/>
      <c r="BF37" s="87"/>
      <c r="BG37" s="88">
        <v>2600000</v>
      </c>
    </row>
    <row r="38" spans="2:59" ht="74.25" customHeight="1" x14ac:dyDescent="0.2">
      <c r="B38" s="70"/>
      <c r="C38" s="96"/>
      <c r="D38" s="61" t="s">
        <v>183</v>
      </c>
      <c r="E38" s="97"/>
      <c r="F38" s="97"/>
      <c r="G38" s="98"/>
      <c r="H38" s="98"/>
      <c r="I38" s="85" t="s">
        <v>184</v>
      </c>
      <c r="J38" s="86">
        <v>20000</v>
      </c>
      <c r="K38" s="87">
        <v>0</v>
      </c>
      <c r="L38" s="87"/>
      <c r="M38" s="87">
        <v>20000</v>
      </c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1">
        <f t="shared" si="0"/>
        <v>0</v>
      </c>
      <c r="Y38" s="81">
        <f t="shared" si="1"/>
        <v>0</v>
      </c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1">
        <v>0</v>
      </c>
      <c r="AM38" s="87"/>
      <c r="AN38" s="81">
        <v>0</v>
      </c>
      <c r="AO38" s="81"/>
      <c r="AP38" s="81">
        <v>20000</v>
      </c>
      <c r="AQ38" s="87"/>
      <c r="AR38" s="81" t="e">
        <f>AQ38-#REF!-#REF!-#REF!</f>
        <v>#REF!</v>
      </c>
      <c r="AS38" s="87"/>
      <c r="AT38" s="87"/>
      <c r="AU38" s="87"/>
      <c r="AV38" s="87">
        <f t="shared" si="3"/>
        <v>0</v>
      </c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8"/>
    </row>
    <row r="39" spans="2:59" ht="89.25" customHeight="1" x14ac:dyDescent="0.2">
      <c r="B39" s="70"/>
      <c r="C39" s="96"/>
      <c r="D39" s="61" t="s">
        <v>185</v>
      </c>
      <c r="E39" s="97"/>
      <c r="F39" s="97"/>
      <c r="G39" s="98"/>
      <c r="H39" s="98"/>
      <c r="I39" s="85" t="s">
        <v>186</v>
      </c>
      <c r="J39" s="86">
        <v>150000</v>
      </c>
      <c r="K39" s="87"/>
      <c r="L39" s="87">
        <v>150000</v>
      </c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1"/>
      <c r="Y39" s="81">
        <f t="shared" si="1"/>
        <v>0</v>
      </c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1">
        <v>0</v>
      </c>
      <c r="AM39" s="87"/>
      <c r="AN39" s="81">
        <v>0</v>
      </c>
      <c r="AO39" s="81">
        <v>150000</v>
      </c>
      <c r="AP39" s="81">
        <v>0</v>
      </c>
      <c r="AQ39" s="87"/>
      <c r="AR39" s="81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8"/>
    </row>
    <row r="40" spans="2:59" ht="101.25" customHeight="1" x14ac:dyDescent="0.2">
      <c r="B40" s="70"/>
      <c r="C40" s="96"/>
      <c r="D40" s="61" t="s">
        <v>187</v>
      </c>
      <c r="E40" s="97"/>
      <c r="F40" s="97"/>
      <c r="G40" s="98"/>
      <c r="H40" s="98"/>
      <c r="I40" s="85" t="s">
        <v>188</v>
      </c>
      <c r="J40" s="86">
        <v>10000</v>
      </c>
      <c r="K40" s="87"/>
      <c r="L40" s="87">
        <v>10000</v>
      </c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1"/>
      <c r="Y40" s="81">
        <f t="shared" si="1"/>
        <v>0</v>
      </c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1">
        <v>0</v>
      </c>
      <c r="AM40" s="87"/>
      <c r="AN40" s="81">
        <v>0</v>
      </c>
      <c r="AO40" s="81">
        <v>10000</v>
      </c>
      <c r="AP40" s="81">
        <v>0</v>
      </c>
      <c r="AQ40" s="87"/>
      <c r="AR40" s="81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8"/>
    </row>
    <row r="41" spans="2:59" ht="77.25" customHeight="1" x14ac:dyDescent="0.2">
      <c r="B41" s="70"/>
      <c r="C41" s="96"/>
      <c r="D41" s="61" t="s">
        <v>189</v>
      </c>
      <c r="E41" s="97"/>
      <c r="F41" s="97"/>
      <c r="G41" s="98"/>
      <c r="H41" s="98"/>
      <c r="I41" s="85" t="s">
        <v>190</v>
      </c>
      <c r="J41" s="86">
        <v>5000</v>
      </c>
      <c r="K41" s="87"/>
      <c r="L41" s="87">
        <v>5000</v>
      </c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1"/>
      <c r="Y41" s="81">
        <f t="shared" si="1"/>
        <v>0</v>
      </c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1">
        <v>0</v>
      </c>
      <c r="AM41" s="87"/>
      <c r="AN41" s="81">
        <v>0</v>
      </c>
      <c r="AO41" s="81">
        <v>5000</v>
      </c>
      <c r="AP41" s="81">
        <v>0</v>
      </c>
      <c r="AQ41" s="87"/>
      <c r="AR41" s="81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8"/>
    </row>
    <row r="42" spans="2:59" ht="99.75" customHeight="1" x14ac:dyDescent="0.2">
      <c r="B42" s="70"/>
      <c r="C42" s="96"/>
      <c r="D42" s="61" t="s">
        <v>191</v>
      </c>
      <c r="E42" s="97"/>
      <c r="F42" s="97"/>
      <c r="G42" s="98"/>
      <c r="H42" s="98"/>
      <c r="I42" s="85" t="s">
        <v>192</v>
      </c>
      <c r="J42" s="86">
        <v>4465922</v>
      </c>
      <c r="K42" s="87"/>
      <c r="L42" s="87"/>
      <c r="M42" s="87">
        <v>4465922</v>
      </c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1"/>
      <c r="Y42" s="81">
        <f t="shared" si="1"/>
        <v>0</v>
      </c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1">
        <v>0</v>
      </c>
      <c r="AM42" s="87"/>
      <c r="AN42" s="81">
        <v>0</v>
      </c>
      <c r="AO42" s="81"/>
      <c r="AP42" s="81">
        <v>4465922</v>
      </c>
      <c r="AQ42" s="87"/>
      <c r="AR42" s="81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8"/>
    </row>
    <row r="43" spans="2:59" ht="77.25" customHeight="1" x14ac:dyDescent="0.2">
      <c r="B43" s="70"/>
      <c r="C43" s="96"/>
      <c r="D43" s="61" t="s">
        <v>193</v>
      </c>
      <c r="E43" s="97"/>
      <c r="F43" s="97"/>
      <c r="G43" s="98"/>
      <c r="H43" s="98"/>
      <c r="I43" s="85" t="s">
        <v>194</v>
      </c>
      <c r="J43" s="86">
        <v>50000</v>
      </c>
      <c r="K43" s="87">
        <v>0</v>
      </c>
      <c r="L43" s="87">
        <v>50000</v>
      </c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1">
        <f>Z43+AB43</f>
        <v>0</v>
      </c>
      <c r="Y43" s="81">
        <f t="shared" si="1"/>
        <v>0</v>
      </c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1">
        <v>0</v>
      </c>
      <c r="AM43" s="87"/>
      <c r="AN43" s="81">
        <v>0</v>
      </c>
      <c r="AO43" s="81">
        <v>50000</v>
      </c>
      <c r="AP43" s="81">
        <v>0</v>
      </c>
      <c r="AQ43" s="87"/>
      <c r="AR43" s="81" t="e">
        <f>AQ43-#REF!-#REF!-#REF!</f>
        <v>#REF!</v>
      </c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8"/>
    </row>
    <row r="44" spans="2:59" ht="24" thickBot="1" x14ac:dyDescent="0.25">
      <c r="B44" s="99"/>
      <c r="C44" s="100"/>
      <c r="E44" s="56"/>
      <c r="F44" s="56"/>
      <c r="G44" s="56"/>
      <c r="H44" s="56"/>
      <c r="I44" s="100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1"/>
      <c r="AK44" s="101"/>
      <c r="AL44" s="101"/>
      <c r="AM44" s="101"/>
      <c r="AN44" s="101"/>
      <c r="AO44" s="101"/>
      <c r="AP44" s="101"/>
      <c r="AQ44" s="101"/>
      <c r="AR44" s="101"/>
      <c r="AS44" s="101"/>
      <c r="AT44" s="101"/>
      <c r="AU44" s="101"/>
      <c r="AV44" s="101"/>
      <c r="AW44" s="101"/>
      <c r="AX44" s="101"/>
      <c r="AY44" s="101"/>
      <c r="AZ44" s="101"/>
      <c r="BA44" s="101"/>
      <c r="BB44" s="101"/>
      <c r="BC44" s="101"/>
      <c r="BD44" s="101"/>
      <c r="BE44" s="101"/>
      <c r="BF44" s="101"/>
      <c r="BG44" s="101"/>
    </row>
    <row r="45" spans="2:59" ht="69.75" customHeight="1" thickBot="1" x14ac:dyDescent="0.25">
      <c r="B45" s="99"/>
      <c r="C45" s="102" t="e">
        <f>SUM(C7:C43)</f>
        <v>#REF!</v>
      </c>
      <c r="E45" s="483"/>
      <c r="F45" s="483"/>
      <c r="G45" s="483"/>
      <c r="H45" s="483"/>
      <c r="I45" s="103" t="s">
        <v>195</v>
      </c>
      <c r="J45" s="102">
        <f t="shared" ref="J45:AB45" si="4">SUM(J7:J43)</f>
        <v>125181636.85000001</v>
      </c>
      <c r="K45" s="102">
        <f t="shared" si="4"/>
        <v>45297656.389999993</v>
      </c>
      <c r="L45" s="102">
        <f t="shared" si="4"/>
        <v>6239221.5099999998</v>
      </c>
      <c r="M45" s="102">
        <f t="shared" si="4"/>
        <v>16414969.569999998</v>
      </c>
      <c r="N45" s="102">
        <f t="shared" si="4"/>
        <v>24777677.77</v>
      </c>
      <c r="O45" s="102">
        <f t="shared" si="4"/>
        <v>32452111.609999999</v>
      </c>
      <c r="P45" s="102">
        <f t="shared" si="4"/>
        <v>3211000</v>
      </c>
      <c r="Q45" s="102">
        <f t="shared" si="4"/>
        <v>0</v>
      </c>
      <c r="R45" s="102">
        <f t="shared" si="4"/>
        <v>3307968</v>
      </c>
      <c r="S45" s="102">
        <f t="shared" si="4"/>
        <v>3307968</v>
      </c>
      <c r="T45" s="102">
        <f t="shared" si="4"/>
        <v>0</v>
      </c>
      <c r="U45" s="102">
        <f t="shared" si="4"/>
        <v>0</v>
      </c>
      <c r="V45" s="102">
        <f t="shared" si="4"/>
        <v>618476.43999999994</v>
      </c>
      <c r="W45" s="102">
        <f t="shared" si="4"/>
        <v>16018128.949999999</v>
      </c>
      <c r="X45" s="102">
        <f t="shared" si="4"/>
        <v>461052.19</v>
      </c>
      <c r="Y45" s="102">
        <f t="shared" si="4"/>
        <v>2147964</v>
      </c>
      <c r="Z45" s="102">
        <f t="shared" si="4"/>
        <v>0</v>
      </c>
      <c r="AA45" s="102">
        <f t="shared" si="4"/>
        <v>855000</v>
      </c>
      <c r="AB45" s="102">
        <f t="shared" si="4"/>
        <v>461052.19</v>
      </c>
      <c r="AC45" s="102">
        <f>SUM(AC7:AC43)</f>
        <v>1292964</v>
      </c>
      <c r="AD45" s="102">
        <f t="shared" ref="AD45:BG45" si="5">SUM(AD7:AD43)</f>
        <v>0</v>
      </c>
      <c r="AE45" s="102">
        <f t="shared" si="5"/>
        <v>0</v>
      </c>
      <c r="AF45" s="102">
        <f t="shared" si="5"/>
        <v>0</v>
      </c>
      <c r="AG45" s="102">
        <f t="shared" si="5"/>
        <v>0</v>
      </c>
      <c r="AH45" s="102">
        <f t="shared" si="5"/>
        <v>0</v>
      </c>
      <c r="AI45" s="102">
        <f t="shared" si="5"/>
        <v>0</v>
      </c>
      <c r="AJ45" s="102">
        <f t="shared" si="5"/>
        <v>0</v>
      </c>
      <c r="AK45" s="102">
        <f t="shared" si="5"/>
        <v>0</v>
      </c>
      <c r="AL45" s="102">
        <f t="shared" si="5"/>
        <v>195289.41</v>
      </c>
      <c r="AM45" s="102">
        <f t="shared" si="5"/>
        <v>0</v>
      </c>
      <c r="AN45" s="102">
        <f t="shared" si="5"/>
        <v>195289.41</v>
      </c>
      <c r="AO45" s="104">
        <f t="shared" si="5"/>
        <v>3946216.78</v>
      </c>
      <c r="AP45" s="104">
        <f t="shared" si="5"/>
        <v>33370602.329999998</v>
      </c>
      <c r="AQ45" s="102">
        <f t="shared" si="5"/>
        <v>5553729.5000000009</v>
      </c>
      <c r="AR45" s="102" t="e">
        <f t="shared" si="5"/>
        <v>#REF!</v>
      </c>
      <c r="AS45" s="102">
        <f t="shared" si="5"/>
        <v>1219496.3600000008</v>
      </c>
      <c r="AT45" s="102">
        <f t="shared" si="5"/>
        <v>4334233.1399999997</v>
      </c>
      <c r="AU45" s="102">
        <f t="shared" si="5"/>
        <v>0</v>
      </c>
      <c r="AV45" s="102">
        <f t="shared" si="5"/>
        <v>24379427.330000002</v>
      </c>
      <c r="AW45" s="102">
        <f t="shared" si="5"/>
        <v>130000</v>
      </c>
      <c r="AX45" s="102">
        <f t="shared" si="5"/>
        <v>0</v>
      </c>
      <c r="AY45" s="102">
        <f t="shared" si="5"/>
        <v>943331.66</v>
      </c>
      <c r="AZ45" s="102">
        <f t="shared" si="5"/>
        <v>23306095.669999998</v>
      </c>
      <c r="BA45" s="102">
        <f t="shared" si="5"/>
        <v>1681103.2300000063</v>
      </c>
      <c r="BB45" s="102">
        <f t="shared" si="5"/>
        <v>80761.254960399994</v>
      </c>
      <c r="BC45" s="102">
        <f t="shared" si="5"/>
        <v>1600341.9750396062</v>
      </c>
      <c r="BD45" s="102">
        <f t="shared" si="5"/>
        <v>25029133.5</v>
      </c>
      <c r="BE45" s="102">
        <f t="shared" si="5"/>
        <v>23431500</v>
      </c>
      <c r="BF45" s="102">
        <f t="shared" si="5"/>
        <v>1660760.64</v>
      </c>
      <c r="BG45" s="102">
        <f t="shared" si="5"/>
        <v>10815274.689999999</v>
      </c>
    </row>
  </sheetData>
  <sheetProtection selectLockedCells="1" selectUnlockedCells="1"/>
  <mergeCells count="16">
    <mergeCell ref="I3:I5"/>
    <mergeCell ref="C3:C5"/>
    <mergeCell ref="E3:E5"/>
    <mergeCell ref="F3:F5"/>
    <mergeCell ref="G3:G5"/>
    <mergeCell ref="H3:H5"/>
    <mergeCell ref="BD3:BD5"/>
    <mergeCell ref="BG3:BG5"/>
    <mergeCell ref="AV5:AZ5"/>
    <mergeCell ref="BA5:BC5"/>
    <mergeCell ref="J3:J5"/>
    <mergeCell ref="K3:K5"/>
    <mergeCell ref="L3:O3"/>
    <mergeCell ref="P3:R3"/>
    <mergeCell ref="U3:AI3"/>
    <mergeCell ref="AJ3:BC3"/>
  </mergeCells>
  <printOptions horizontalCentered="1" verticalCentered="1" gridLines="1"/>
  <pageMargins left="3.9583333333333331E-2" right="3.9583333333333331E-2" top="0.51180555555555551" bottom="0.15763888888888888" header="0.51180555555555551" footer="0.51180555555555551"/>
  <pageSetup paperSize="8" firstPageNumber="0" orientation="landscape" horizontalDpi="300" verticalDpi="300" r:id="rId1"/>
  <headerFooter alignWithMargins="0">
    <oddHeader>&amp;R&amp;A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BC77"/>
  <sheetViews>
    <sheetView topLeftCell="D1" zoomScale="45" zoomScaleNormal="45" zoomScalePageLayoutView="45" workbookViewId="0">
      <pane xSplit="8" ySplit="10" topLeftCell="AM63" activePane="bottomRight" state="frozen"/>
      <selection activeCell="C26" sqref="C26"/>
      <selection pane="topRight" activeCell="C26" sqref="C26"/>
      <selection pane="bottomLeft" activeCell="C26" sqref="C26"/>
      <selection pane="bottomRight" activeCell="AY63" sqref="AY63"/>
    </sheetView>
  </sheetViews>
  <sheetFormatPr defaultColWidth="41.5703125" defaultRowHeight="25.5" x14ac:dyDescent="0.2"/>
  <cols>
    <col min="1" max="1" width="26.42578125" style="53" customWidth="1"/>
    <col min="2" max="3" width="41.5703125" style="53" hidden="1" customWidth="1"/>
    <col min="4" max="4" width="11.85546875" style="107" customWidth="1"/>
    <col min="5" max="5" width="29.85546875" style="105" hidden="1" customWidth="1"/>
    <col min="6" max="8" width="41.5703125" style="105" hidden="1" customWidth="1"/>
    <col min="9" max="10" width="41.5703125" style="53"/>
    <col min="11" max="11" width="35.85546875" style="53" customWidth="1"/>
    <col min="12" max="12" width="33.5703125" style="53" customWidth="1"/>
    <col min="13" max="13" width="34.5703125" style="53" customWidth="1"/>
    <col min="14" max="14" width="32.7109375" style="53" customWidth="1"/>
    <col min="15" max="15" width="31.42578125" style="53" customWidth="1"/>
    <col min="16" max="16" width="34.85546875" style="53" customWidth="1"/>
    <col min="17" max="17" width="25.42578125" style="53" customWidth="1"/>
    <col min="18" max="18" width="31" style="53" customWidth="1"/>
    <col min="19" max="20" width="41.5703125" style="53" hidden="1" customWidth="1"/>
    <col min="21" max="21" width="22.140625" style="53" customWidth="1"/>
    <col min="22" max="22" width="28.28515625" style="53" customWidth="1"/>
    <col min="23" max="23" width="32.140625" style="53" customWidth="1"/>
    <col min="24" max="24" width="31.140625" style="53" customWidth="1"/>
    <col min="25" max="25" width="36.42578125" style="53" customWidth="1"/>
    <col min="26" max="26" width="36.42578125" style="53" hidden="1" customWidth="1"/>
    <col min="27" max="35" width="41.5703125" style="53" hidden="1" customWidth="1"/>
    <col min="36" max="36" width="30.140625" style="53" customWidth="1"/>
    <col min="37" max="37" width="31.140625" style="53" customWidth="1"/>
    <col min="38" max="39" width="32.85546875" style="53" customWidth="1"/>
    <col min="40" max="41" width="39.85546875" style="53" customWidth="1"/>
    <col min="42" max="42" width="34.5703125" style="53" customWidth="1"/>
    <col min="43" max="44" width="41.5703125" style="53" hidden="1" customWidth="1"/>
    <col min="45" max="45" width="41.5703125" style="53" customWidth="1"/>
    <col min="46" max="47" width="41.5703125" style="53" hidden="1" customWidth="1"/>
    <col min="48" max="48" width="32.7109375" style="53" customWidth="1"/>
    <col min="49" max="49" width="24.140625" style="53" hidden="1" customWidth="1"/>
    <col min="50" max="50" width="23.5703125" style="53" hidden="1" customWidth="1"/>
    <col min="51" max="51" width="32.5703125" style="53" customWidth="1"/>
    <col min="52" max="52" width="41.5703125" style="53" hidden="1" customWidth="1"/>
    <col min="53" max="53" width="41.5703125" style="108" hidden="1" customWidth="1"/>
    <col min="54" max="55" width="41.5703125" style="53" hidden="1" customWidth="1"/>
    <col min="56" max="16384" width="41.5703125" style="53"/>
  </cols>
  <sheetData>
    <row r="1" spans="2:55" ht="26.25" thickBot="1" x14ac:dyDescent="0.25">
      <c r="B1" s="99"/>
      <c r="C1" s="106"/>
    </row>
    <row r="2" spans="2:55" ht="36" thickBot="1" x14ac:dyDescent="0.25">
      <c r="B2" s="99"/>
      <c r="C2" s="109"/>
      <c r="I2" s="110"/>
    </row>
    <row r="3" spans="2:55" ht="36" thickBot="1" x14ac:dyDescent="0.25">
      <c r="B3" s="99"/>
      <c r="C3" s="54"/>
      <c r="E3" s="111"/>
      <c r="F3" s="112"/>
      <c r="G3" s="112"/>
      <c r="H3" s="112"/>
      <c r="I3" s="113" t="s">
        <v>197</v>
      </c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5"/>
      <c r="BA3" s="116"/>
    </row>
    <row r="4" spans="2:55" x14ac:dyDescent="0.2">
      <c r="B4" s="99"/>
      <c r="C4" s="54"/>
    </row>
    <row r="5" spans="2:55" s="119" customFormat="1" ht="27" thickBot="1" x14ac:dyDescent="0.25">
      <c r="B5" s="117"/>
      <c r="C5" s="118"/>
      <c r="D5" s="107"/>
      <c r="E5" s="107"/>
      <c r="F5" s="107"/>
      <c r="G5" s="107"/>
      <c r="H5" s="107"/>
      <c r="I5" s="119">
        <v>1</v>
      </c>
      <c r="J5" s="119">
        <v>2</v>
      </c>
      <c r="K5" s="119">
        <v>3</v>
      </c>
      <c r="L5" s="120">
        <v>4</v>
      </c>
      <c r="M5" s="119">
        <v>5</v>
      </c>
      <c r="N5" s="119">
        <v>6</v>
      </c>
      <c r="O5" s="119">
        <v>7</v>
      </c>
      <c r="P5" s="119">
        <v>8</v>
      </c>
      <c r="Q5" s="119">
        <v>9</v>
      </c>
      <c r="R5" s="119">
        <v>10</v>
      </c>
      <c r="U5" s="119">
        <v>11</v>
      </c>
      <c r="V5" s="119">
        <v>12</v>
      </c>
      <c r="W5" s="119">
        <v>13</v>
      </c>
      <c r="X5" s="119">
        <v>14</v>
      </c>
      <c r="Y5" s="119">
        <v>15</v>
      </c>
      <c r="AJ5" s="119">
        <v>16</v>
      </c>
      <c r="AK5" s="119">
        <v>17</v>
      </c>
      <c r="AL5" s="119">
        <v>18</v>
      </c>
      <c r="AP5" s="119">
        <v>20</v>
      </c>
      <c r="AS5" s="119">
        <v>21</v>
      </c>
      <c r="AV5" s="119">
        <v>22</v>
      </c>
      <c r="AY5" s="119">
        <v>23</v>
      </c>
    </row>
    <row r="6" spans="2:55" ht="15" customHeight="1" thickBot="1" x14ac:dyDescent="0.25">
      <c r="B6" s="99"/>
      <c r="C6" s="509" t="s">
        <v>59</v>
      </c>
    </row>
    <row r="7" spans="2:55" ht="24" customHeight="1" thickBot="1" x14ac:dyDescent="0.25">
      <c r="B7" s="99"/>
      <c r="C7" s="509"/>
      <c r="E7" s="511" t="s">
        <v>60</v>
      </c>
      <c r="F7" s="511" t="s">
        <v>61</v>
      </c>
      <c r="G7" s="511" t="s">
        <v>62</v>
      </c>
      <c r="H7" s="511" t="s">
        <v>63</v>
      </c>
      <c r="I7" s="511" t="s">
        <v>64</v>
      </c>
      <c r="J7" s="511" t="s">
        <v>198</v>
      </c>
      <c r="K7" s="504" t="s">
        <v>199</v>
      </c>
      <c r="L7" s="515" t="s">
        <v>67</v>
      </c>
      <c r="M7" s="516"/>
      <c r="N7" s="516"/>
      <c r="O7" s="517"/>
      <c r="P7" s="521" t="s">
        <v>68</v>
      </c>
      <c r="Q7" s="522"/>
      <c r="R7" s="522"/>
      <c r="S7" s="121"/>
      <c r="T7" s="122"/>
      <c r="U7" s="525" t="s">
        <v>69</v>
      </c>
      <c r="V7" s="526"/>
      <c r="W7" s="526"/>
      <c r="X7" s="526"/>
      <c r="Y7" s="526"/>
      <c r="Z7" s="436"/>
      <c r="AA7" s="121"/>
      <c r="AB7" s="121"/>
      <c r="AC7" s="121"/>
      <c r="AD7" s="121"/>
      <c r="AE7" s="121"/>
      <c r="AF7" s="121"/>
      <c r="AG7" s="121"/>
      <c r="AH7" s="121"/>
      <c r="AI7" s="122"/>
      <c r="AJ7" s="529" t="s">
        <v>70</v>
      </c>
      <c r="AK7" s="530"/>
      <c r="AL7" s="530"/>
      <c r="AM7" s="530"/>
      <c r="AN7" s="530"/>
      <c r="AO7" s="530"/>
      <c r="AP7" s="530"/>
      <c r="AQ7" s="530"/>
      <c r="AR7" s="530"/>
      <c r="AS7" s="530"/>
      <c r="AT7" s="123"/>
      <c r="AU7" s="123"/>
      <c r="AV7" s="512" t="s">
        <v>26</v>
      </c>
      <c r="AW7" s="124"/>
      <c r="AX7" s="122"/>
      <c r="AY7" s="512" t="s">
        <v>71</v>
      </c>
      <c r="AZ7" s="513" t="s">
        <v>200</v>
      </c>
      <c r="BA7" s="514" t="s">
        <v>201</v>
      </c>
    </row>
    <row r="8" spans="2:55" ht="26.25" thickBot="1" x14ac:dyDescent="0.25">
      <c r="B8" s="99"/>
      <c r="C8" s="509"/>
      <c r="E8" s="511"/>
      <c r="F8" s="511"/>
      <c r="G8" s="511"/>
      <c r="H8" s="511"/>
      <c r="I8" s="511"/>
      <c r="J8" s="511"/>
      <c r="K8" s="504"/>
      <c r="L8" s="518"/>
      <c r="M8" s="519"/>
      <c r="N8" s="519"/>
      <c r="O8" s="520"/>
      <c r="P8" s="523"/>
      <c r="Q8" s="524"/>
      <c r="R8" s="524"/>
      <c r="S8" s="125"/>
      <c r="T8" s="126"/>
      <c r="U8" s="527"/>
      <c r="V8" s="528"/>
      <c r="W8" s="528"/>
      <c r="X8" s="528"/>
      <c r="Y8" s="528"/>
      <c r="Z8" s="437"/>
      <c r="AA8" s="125"/>
      <c r="AB8" s="125"/>
      <c r="AC8" s="125"/>
      <c r="AD8" s="125"/>
      <c r="AE8" s="125"/>
      <c r="AF8" s="125"/>
      <c r="AG8" s="125"/>
      <c r="AH8" s="125"/>
      <c r="AI8" s="126"/>
      <c r="AJ8" s="531"/>
      <c r="AK8" s="532"/>
      <c r="AL8" s="532"/>
      <c r="AM8" s="532"/>
      <c r="AN8" s="532"/>
      <c r="AO8" s="532"/>
      <c r="AP8" s="532"/>
      <c r="AQ8" s="532"/>
      <c r="AR8" s="532"/>
      <c r="AS8" s="532"/>
      <c r="AT8" s="127"/>
      <c r="AU8" s="127"/>
      <c r="AV8" s="512"/>
      <c r="AW8" s="128"/>
      <c r="AX8" s="129"/>
      <c r="AY8" s="512"/>
      <c r="AZ8" s="513"/>
      <c r="BA8" s="514"/>
    </row>
    <row r="9" spans="2:55" ht="142.5" customHeight="1" thickBot="1" x14ac:dyDescent="0.25">
      <c r="B9" s="99"/>
      <c r="C9" s="71"/>
      <c r="E9" s="511"/>
      <c r="F9" s="511"/>
      <c r="G9" s="511"/>
      <c r="H9" s="511"/>
      <c r="I9" s="511"/>
      <c r="J9" s="511"/>
      <c r="K9" s="504"/>
      <c r="L9" s="435" t="s">
        <v>75</v>
      </c>
      <c r="M9" s="435" t="s">
        <v>76</v>
      </c>
      <c r="N9" s="435" t="s">
        <v>77</v>
      </c>
      <c r="O9" s="435" t="s">
        <v>78</v>
      </c>
      <c r="P9" s="130" t="s">
        <v>79</v>
      </c>
      <c r="Q9" s="130" t="s">
        <v>80</v>
      </c>
      <c r="R9" s="130" t="s">
        <v>81</v>
      </c>
      <c r="S9" s="438" t="s">
        <v>82</v>
      </c>
      <c r="T9" s="438" t="s">
        <v>83</v>
      </c>
      <c r="U9" s="132" t="s">
        <v>84</v>
      </c>
      <c r="V9" s="132" t="s">
        <v>85</v>
      </c>
      <c r="W9" s="132" t="s">
        <v>86</v>
      </c>
      <c r="X9" s="132" t="s">
        <v>18</v>
      </c>
      <c r="Y9" s="132" t="s">
        <v>87</v>
      </c>
      <c r="Z9" s="133" t="s">
        <v>89</v>
      </c>
      <c r="AA9" s="134" t="s">
        <v>202</v>
      </c>
      <c r="AB9" s="134" t="s">
        <v>90</v>
      </c>
      <c r="AC9" s="438" t="s">
        <v>91</v>
      </c>
      <c r="AD9" s="438" t="s">
        <v>92</v>
      </c>
      <c r="AE9" s="438" t="s">
        <v>93</v>
      </c>
      <c r="AF9" s="134" t="s">
        <v>94</v>
      </c>
      <c r="AG9" s="438" t="s">
        <v>203</v>
      </c>
      <c r="AH9" s="438" t="s">
        <v>96</v>
      </c>
      <c r="AI9" s="438" t="s">
        <v>97</v>
      </c>
      <c r="AJ9" s="135" t="s">
        <v>204</v>
      </c>
      <c r="AK9" s="135" t="s">
        <v>205</v>
      </c>
      <c r="AL9" s="135" t="s">
        <v>98</v>
      </c>
      <c r="AM9" s="135" t="s">
        <v>206</v>
      </c>
      <c r="AN9" s="135" t="s">
        <v>22</v>
      </c>
      <c r="AO9" s="136" t="s">
        <v>207</v>
      </c>
      <c r="AP9" s="136" t="s">
        <v>208</v>
      </c>
      <c r="AQ9" s="136" t="s">
        <v>107</v>
      </c>
      <c r="AR9" s="136" t="s">
        <v>108</v>
      </c>
      <c r="AS9" s="136" t="s">
        <v>196</v>
      </c>
      <c r="AT9" s="438" t="s">
        <v>102</v>
      </c>
      <c r="AU9" s="438" t="s">
        <v>103</v>
      </c>
      <c r="AV9" s="512"/>
      <c r="AW9" s="438" t="s">
        <v>104</v>
      </c>
      <c r="AX9" s="438" t="s">
        <v>105</v>
      </c>
      <c r="AY9" s="512"/>
      <c r="AZ9" s="513"/>
      <c r="BA9" s="514"/>
    </row>
    <row r="10" spans="2:55" ht="28.5" thickBot="1" x14ac:dyDescent="0.25">
      <c r="B10" s="70"/>
      <c r="C10" s="78"/>
      <c r="E10" s="72"/>
      <c r="F10" s="72"/>
      <c r="G10" s="73"/>
      <c r="H10" s="73"/>
      <c r="I10" s="137" t="s">
        <v>106</v>
      </c>
      <c r="J10" s="138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40"/>
      <c r="AV10" s="141"/>
      <c r="AW10" s="142"/>
      <c r="AX10" s="139"/>
      <c r="AY10" s="143"/>
      <c r="AZ10" s="144"/>
      <c r="BA10" s="145"/>
    </row>
    <row r="11" spans="2:55" s="163" customFormat="1" ht="78" customHeight="1" thickBot="1" x14ac:dyDescent="0.25">
      <c r="B11" s="146"/>
      <c r="C11" s="147" t="e">
        <f>J11-#REF!</f>
        <v>#REF!</v>
      </c>
      <c r="D11" s="148" t="s">
        <v>209</v>
      </c>
      <c r="E11" s="149" t="s">
        <v>210</v>
      </c>
      <c r="F11" s="150"/>
      <c r="G11" s="151"/>
      <c r="H11" s="152" t="s">
        <v>112</v>
      </c>
      <c r="I11" s="153" t="s">
        <v>211</v>
      </c>
      <c r="J11" s="154">
        <v>7600000</v>
      </c>
      <c r="K11" s="155">
        <v>6302972.3799999999</v>
      </c>
      <c r="L11" s="156">
        <f>1297027.62-87452.06</f>
        <v>1209575.56</v>
      </c>
      <c r="M11" s="157">
        <v>87452.06</v>
      </c>
      <c r="N11" s="157"/>
      <c r="O11" s="158"/>
      <c r="P11" s="156">
        <v>7200000</v>
      </c>
      <c r="Q11" s="157"/>
      <c r="R11" s="157"/>
      <c r="S11" s="157"/>
      <c r="T11" s="158"/>
      <c r="U11" s="156"/>
      <c r="V11" s="157"/>
      <c r="W11" s="157">
        <v>312547.84999999998</v>
      </c>
      <c r="X11" s="157">
        <f>AA11+AB11+AF11</f>
        <v>0</v>
      </c>
      <c r="Y11" s="87">
        <f>AC11+AD11+AE11+AG11+AH11+AI11</f>
        <v>0</v>
      </c>
      <c r="Z11" s="81"/>
      <c r="AA11" s="157"/>
      <c r="AB11" s="157"/>
      <c r="AC11" s="157"/>
      <c r="AD11" s="157"/>
      <c r="AE11" s="157"/>
      <c r="AF11" s="157"/>
      <c r="AG11" s="157"/>
      <c r="AH11" s="159"/>
      <c r="AI11" s="158"/>
      <c r="AJ11" s="156"/>
      <c r="AK11" s="157"/>
      <c r="AL11" s="157"/>
      <c r="AM11" s="157">
        <v>0</v>
      </c>
      <c r="AN11" s="157">
        <v>0</v>
      </c>
      <c r="AO11" s="157">
        <v>87452.06</v>
      </c>
      <c r="AP11" s="157">
        <v>0</v>
      </c>
      <c r="AQ11" s="157"/>
      <c r="AR11" s="157"/>
      <c r="AS11" s="157"/>
      <c r="AT11" s="157"/>
      <c r="AU11" s="158"/>
      <c r="AV11" s="160"/>
      <c r="AW11" s="157"/>
      <c r="AX11" s="158"/>
      <c r="AY11" s="155"/>
      <c r="AZ11" s="161"/>
      <c r="BA11" s="162"/>
      <c r="BB11" s="87" t="e">
        <f>AY11+AV11+AS11+AP11+#REF!+AL11+AK11+AJ11+Y11+X11+W11+V11+U11+T11+R11+Q11+P11</f>
        <v>#REF!</v>
      </c>
      <c r="BC11" s="87" t="e">
        <f t="shared" ref="BC11:BC57" si="0">J11-BB11</f>
        <v>#REF!</v>
      </c>
    </row>
    <row r="12" spans="2:55" s="163" customFormat="1" ht="128.25" customHeight="1" thickBot="1" x14ac:dyDescent="0.25">
      <c r="B12" s="146"/>
      <c r="C12" s="147">
        <v>203355.47</v>
      </c>
      <c r="D12" s="148" t="s">
        <v>212</v>
      </c>
      <c r="E12" s="165" t="s">
        <v>213</v>
      </c>
      <c r="F12" s="166"/>
      <c r="G12" s="167"/>
      <c r="H12" s="168" t="s">
        <v>112</v>
      </c>
      <c r="I12" s="169" t="s">
        <v>214</v>
      </c>
      <c r="J12" s="170">
        <f>6324392.02+3355.47+200000+207706.72+741119.01</f>
        <v>7476573.2199999988</v>
      </c>
      <c r="K12" s="164">
        <v>7080932.1099999994</v>
      </c>
      <c r="L12" s="171">
        <v>395641.11</v>
      </c>
      <c r="M12" s="87"/>
      <c r="N12" s="87"/>
      <c r="O12" s="88"/>
      <c r="P12" s="171"/>
      <c r="Q12" s="87"/>
      <c r="R12" s="87">
        <v>5045454.21</v>
      </c>
      <c r="S12" s="87"/>
      <c r="T12" s="88"/>
      <c r="U12" s="171"/>
      <c r="V12" s="87"/>
      <c r="W12" s="87">
        <v>652045.07999999996</v>
      </c>
      <c r="X12" s="157">
        <f t="shared" ref="X12:X62" si="1">AA12+AB12+AF12</f>
        <v>0</v>
      </c>
      <c r="Y12" s="87">
        <f t="shared" ref="Y12:Y62" si="2">AC12+AD12+AE12+AG12+AH12+AI12</f>
        <v>0</v>
      </c>
      <c r="Z12" s="87"/>
      <c r="AA12" s="87"/>
      <c r="AB12" s="87"/>
      <c r="AC12" s="87"/>
      <c r="AD12" s="87"/>
      <c r="AE12" s="87"/>
      <c r="AF12" s="87"/>
      <c r="AG12" s="87"/>
      <c r="AH12" s="172"/>
      <c r="AI12" s="88"/>
      <c r="AJ12" s="171"/>
      <c r="AK12" s="87"/>
      <c r="AL12" s="87"/>
      <c r="AM12" s="157">
        <v>646065.23</v>
      </c>
      <c r="AN12" s="157">
        <v>391889.69000000006</v>
      </c>
      <c r="AO12" s="157">
        <v>0</v>
      </c>
      <c r="AP12" s="87">
        <v>741119.01</v>
      </c>
      <c r="AQ12" s="87"/>
      <c r="AR12" s="87"/>
      <c r="AS12" s="87"/>
      <c r="AT12" s="87"/>
      <c r="AU12" s="88"/>
      <c r="AV12" s="171"/>
      <c r="AW12" s="87"/>
      <c r="AX12" s="88"/>
      <c r="AY12" s="164"/>
      <c r="AZ12" s="173"/>
      <c r="BA12" s="162"/>
      <c r="BB12" s="87" t="e">
        <f>AY12+AV12+AS12+AP12+#REF!+AL12+AK12+AJ12+Y12+X12+W12+V12+U12+T12+R12+Q12+P12</f>
        <v>#REF!</v>
      </c>
      <c r="BC12" s="87" t="e">
        <f t="shared" si="0"/>
        <v>#REF!</v>
      </c>
    </row>
    <row r="13" spans="2:55" s="163" customFormat="1" ht="105" customHeight="1" thickBot="1" x14ac:dyDescent="0.25">
      <c r="B13" s="146"/>
      <c r="C13" s="147" t="e">
        <f>J13-#REF!</f>
        <v>#REF!</v>
      </c>
      <c r="D13" s="148" t="s">
        <v>215</v>
      </c>
      <c r="E13" s="165" t="s">
        <v>216</v>
      </c>
      <c r="F13" s="166"/>
      <c r="G13" s="167"/>
      <c r="H13" s="168" t="s">
        <v>112</v>
      </c>
      <c r="I13" s="169" t="s">
        <v>217</v>
      </c>
      <c r="J13" s="170">
        <v>5512880.4299999997</v>
      </c>
      <c r="K13" s="164">
        <v>5497398.9000000004</v>
      </c>
      <c r="L13" s="171">
        <v>15481.53</v>
      </c>
      <c r="M13" s="87"/>
      <c r="N13" s="87"/>
      <c r="O13" s="88"/>
      <c r="P13" s="171"/>
      <c r="Q13" s="87"/>
      <c r="R13" s="87">
        <v>4088758.09</v>
      </c>
      <c r="S13" s="87"/>
      <c r="T13" s="88"/>
      <c r="U13" s="171"/>
      <c r="V13" s="87"/>
      <c r="W13" s="87"/>
      <c r="X13" s="157">
        <f t="shared" si="1"/>
        <v>0</v>
      </c>
      <c r="Y13" s="87">
        <f t="shared" si="2"/>
        <v>0</v>
      </c>
      <c r="Z13" s="87"/>
      <c r="AA13" s="87"/>
      <c r="AB13" s="87"/>
      <c r="AC13" s="87"/>
      <c r="AD13" s="87"/>
      <c r="AE13" s="87"/>
      <c r="AF13" s="87"/>
      <c r="AG13" s="87"/>
      <c r="AH13" s="172"/>
      <c r="AI13" s="88"/>
      <c r="AJ13" s="171"/>
      <c r="AK13" s="87"/>
      <c r="AL13" s="87">
        <v>1424122.34</v>
      </c>
      <c r="AM13" s="157">
        <v>0</v>
      </c>
      <c r="AN13" s="157">
        <v>0</v>
      </c>
      <c r="AO13" s="157">
        <v>0</v>
      </c>
      <c r="AP13" s="87">
        <v>0</v>
      </c>
      <c r="AQ13" s="87"/>
      <c r="AR13" s="87"/>
      <c r="AS13" s="87"/>
      <c r="AT13" s="87"/>
      <c r="AU13" s="88"/>
      <c r="AV13" s="171"/>
      <c r="AW13" s="87"/>
      <c r="AX13" s="88"/>
      <c r="AY13" s="164"/>
      <c r="AZ13" s="173"/>
      <c r="BA13" s="162"/>
      <c r="BB13" s="87" t="e">
        <f>AY13+AV13+AS13+AP13+#REF!+AL13+AK13+AJ13+Y13+X13+W13+V13+U13+T13+R13+Q13+P13</f>
        <v>#REF!</v>
      </c>
      <c r="BC13" s="87" t="e">
        <f t="shared" si="0"/>
        <v>#REF!</v>
      </c>
    </row>
    <row r="14" spans="2:55" s="163" customFormat="1" ht="103.5" customHeight="1" thickBot="1" x14ac:dyDescent="0.25">
      <c r="B14" s="146"/>
      <c r="C14" s="147" t="e">
        <f>J14-#REF!</f>
        <v>#REF!</v>
      </c>
      <c r="D14" s="148" t="s">
        <v>218</v>
      </c>
      <c r="E14" s="165" t="s">
        <v>219</v>
      </c>
      <c r="F14" s="166"/>
      <c r="G14" s="167"/>
      <c r="H14" s="168" t="s">
        <v>112</v>
      </c>
      <c r="I14" s="169" t="s">
        <v>220</v>
      </c>
      <c r="J14" s="170">
        <v>3935369.76</v>
      </c>
      <c r="K14" s="164">
        <v>3813984.2</v>
      </c>
      <c r="L14" s="171">
        <v>121385.56</v>
      </c>
      <c r="M14" s="87"/>
      <c r="N14" s="87"/>
      <c r="O14" s="88"/>
      <c r="P14" s="171"/>
      <c r="Q14" s="87"/>
      <c r="R14" s="87">
        <v>231903.91</v>
      </c>
      <c r="S14" s="87"/>
      <c r="T14" s="88"/>
      <c r="U14" s="171"/>
      <c r="V14" s="87"/>
      <c r="W14" s="87"/>
      <c r="X14" s="157">
        <f t="shared" si="1"/>
        <v>0</v>
      </c>
      <c r="Y14" s="87">
        <f t="shared" si="2"/>
        <v>0</v>
      </c>
      <c r="Z14" s="87"/>
      <c r="AA14" s="87"/>
      <c r="AB14" s="87"/>
      <c r="AC14" s="87"/>
      <c r="AD14" s="87"/>
      <c r="AE14" s="87"/>
      <c r="AF14" s="87"/>
      <c r="AG14" s="87"/>
      <c r="AH14" s="172"/>
      <c r="AI14" s="88"/>
      <c r="AJ14" s="171"/>
      <c r="AK14" s="87"/>
      <c r="AL14" s="87">
        <v>3150000</v>
      </c>
      <c r="AM14" s="157">
        <v>0</v>
      </c>
      <c r="AN14" s="157">
        <v>0</v>
      </c>
      <c r="AO14" s="157">
        <v>0</v>
      </c>
      <c r="AP14" s="87">
        <v>553465.85</v>
      </c>
      <c r="AQ14" s="87"/>
      <c r="AR14" s="87"/>
      <c r="AS14" s="87"/>
      <c r="AT14" s="87"/>
      <c r="AU14" s="88"/>
      <c r="AV14" s="171"/>
      <c r="AW14" s="87"/>
      <c r="AX14" s="88"/>
      <c r="AY14" s="164"/>
      <c r="AZ14" s="173"/>
      <c r="BA14" s="162"/>
      <c r="BB14" s="87" t="e">
        <f>AY14+AV14+AS14+AP14+#REF!+AL14+AK14+AJ14+Y14+X14+W14+V14+U14+T14+R14+Q14+P14</f>
        <v>#REF!</v>
      </c>
      <c r="BC14" s="87" t="e">
        <f t="shared" si="0"/>
        <v>#REF!</v>
      </c>
    </row>
    <row r="15" spans="2:55" s="163" customFormat="1" ht="134.25" customHeight="1" thickBot="1" x14ac:dyDescent="0.25">
      <c r="B15" s="146"/>
      <c r="C15" s="147" t="e">
        <f>J15-#REF!</f>
        <v>#REF!</v>
      </c>
      <c r="D15" s="148" t="s">
        <v>221</v>
      </c>
      <c r="E15" s="165" t="s">
        <v>222</v>
      </c>
      <c r="F15" s="166"/>
      <c r="G15" s="167"/>
      <c r="H15" s="168" t="s">
        <v>112</v>
      </c>
      <c r="I15" s="169" t="s">
        <v>223</v>
      </c>
      <c r="J15" s="170">
        <v>2992016.56</v>
      </c>
      <c r="K15" s="164">
        <v>2785683.88</v>
      </c>
      <c r="L15" s="171">
        <v>206332.68000000017</v>
      </c>
      <c r="M15" s="87"/>
      <c r="N15" s="87"/>
      <c r="O15" s="88"/>
      <c r="P15" s="171"/>
      <c r="Q15" s="87"/>
      <c r="R15" s="87"/>
      <c r="S15" s="87"/>
      <c r="T15" s="88"/>
      <c r="U15" s="171"/>
      <c r="V15" s="87"/>
      <c r="W15" s="87">
        <v>2497724.14</v>
      </c>
      <c r="X15" s="157">
        <f t="shared" si="1"/>
        <v>0</v>
      </c>
      <c r="Y15" s="87">
        <f t="shared" si="2"/>
        <v>0</v>
      </c>
      <c r="Z15" s="87"/>
      <c r="AA15" s="87"/>
      <c r="AB15" s="87"/>
      <c r="AC15" s="87"/>
      <c r="AD15" s="87"/>
      <c r="AE15" s="87"/>
      <c r="AF15" s="87"/>
      <c r="AG15" s="87"/>
      <c r="AH15" s="172"/>
      <c r="AI15" s="88"/>
      <c r="AJ15" s="171"/>
      <c r="AK15" s="87"/>
      <c r="AL15" s="87"/>
      <c r="AM15" s="157">
        <v>0</v>
      </c>
      <c r="AN15" s="157">
        <v>206339.68</v>
      </c>
      <c r="AO15" s="157">
        <v>0</v>
      </c>
      <c r="AP15" s="87">
        <v>287952.74</v>
      </c>
      <c r="AQ15" s="87"/>
      <c r="AR15" s="87"/>
      <c r="AS15" s="87"/>
      <c r="AT15" s="87"/>
      <c r="AU15" s="88"/>
      <c r="AV15" s="171"/>
      <c r="AW15" s="87"/>
      <c r="AX15" s="88"/>
      <c r="AY15" s="164"/>
      <c r="AZ15" s="173"/>
      <c r="BA15" s="162"/>
      <c r="BB15" s="87" t="e">
        <f>AY15+AV15+AS15+AP15+#REF!+AL15+AK15+AJ15+Y15+X15+W15+V15+U15+T15+R15+Q15+P15</f>
        <v>#REF!</v>
      </c>
      <c r="BC15" s="87" t="e">
        <f t="shared" si="0"/>
        <v>#REF!</v>
      </c>
    </row>
    <row r="16" spans="2:55" s="163" customFormat="1" ht="84.75" customHeight="1" thickBot="1" x14ac:dyDescent="0.25">
      <c r="B16" s="146"/>
      <c r="C16" s="147" t="e">
        <f>J16-#REF!</f>
        <v>#REF!</v>
      </c>
      <c r="D16" s="148" t="s">
        <v>224</v>
      </c>
      <c r="E16" s="165" t="s">
        <v>225</v>
      </c>
      <c r="F16" s="166"/>
      <c r="G16" s="167"/>
      <c r="H16" s="168" t="s">
        <v>112</v>
      </c>
      <c r="I16" s="169" t="s">
        <v>226</v>
      </c>
      <c r="J16" s="170">
        <v>2402955.96</v>
      </c>
      <c r="K16" s="164">
        <v>2290986.67</v>
      </c>
      <c r="L16" s="171">
        <v>111969.29000000004</v>
      </c>
      <c r="M16" s="87"/>
      <c r="N16" s="87"/>
      <c r="O16" s="88"/>
      <c r="P16" s="171"/>
      <c r="Q16" s="87"/>
      <c r="R16" s="87"/>
      <c r="S16" s="87"/>
      <c r="T16" s="88"/>
      <c r="U16" s="171"/>
      <c r="V16" s="87"/>
      <c r="W16" s="87"/>
      <c r="X16" s="157">
        <f t="shared" si="1"/>
        <v>0</v>
      </c>
      <c r="Y16" s="87">
        <f t="shared" si="2"/>
        <v>0</v>
      </c>
      <c r="Z16" s="87"/>
      <c r="AA16" s="87"/>
      <c r="AB16" s="87"/>
      <c r="AC16" s="87"/>
      <c r="AD16" s="87"/>
      <c r="AE16" s="87"/>
      <c r="AF16" s="87"/>
      <c r="AG16" s="87"/>
      <c r="AH16" s="172"/>
      <c r="AI16" s="88"/>
      <c r="AJ16" s="171"/>
      <c r="AK16" s="87"/>
      <c r="AL16" s="87"/>
      <c r="AM16" s="157">
        <v>0</v>
      </c>
      <c r="AN16" s="157">
        <v>0</v>
      </c>
      <c r="AO16" s="157">
        <v>0</v>
      </c>
      <c r="AP16" s="87">
        <v>2402955.96</v>
      </c>
      <c r="AQ16" s="87"/>
      <c r="AR16" s="87"/>
      <c r="AS16" s="87"/>
      <c r="AT16" s="87"/>
      <c r="AU16" s="88"/>
      <c r="AV16" s="171"/>
      <c r="AW16" s="87"/>
      <c r="AX16" s="88"/>
      <c r="AY16" s="164"/>
      <c r="AZ16" s="173"/>
      <c r="BA16" s="162"/>
      <c r="BB16" s="87" t="e">
        <f>AY16+AV16+AS16+AP16+#REF!+AL16+AK16+AJ16+Y16+X16+W16+V16+U16+T16+R16+Q16+P16</f>
        <v>#REF!</v>
      </c>
      <c r="BC16" s="87" t="e">
        <f t="shared" si="0"/>
        <v>#REF!</v>
      </c>
    </row>
    <row r="17" spans="2:55" s="163" customFormat="1" ht="120" customHeight="1" thickBot="1" x14ac:dyDescent="0.25">
      <c r="B17" s="146"/>
      <c r="C17" s="147" t="e">
        <f>J17-#REF!</f>
        <v>#REF!</v>
      </c>
      <c r="D17" s="148" t="s">
        <v>227</v>
      </c>
      <c r="E17" s="165" t="s">
        <v>228</v>
      </c>
      <c r="F17" s="166"/>
      <c r="G17" s="167"/>
      <c r="H17" s="174" t="s">
        <v>112</v>
      </c>
      <c r="I17" s="169" t="s">
        <v>229</v>
      </c>
      <c r="J17" s="170">
        <v>1553750</v>
      </c>
      <c r="K17" s="164">
        <v>1544588.68</v>
      </c>
      <c r="L17" s="171">
        <f>9161.32-7562.19</f>
        <v>1599.13</v>
      </c>
      <c r="M17" s="87">
        <v>7562.19</v>
      </c>
      <c r="N17" s="87"/>
      <c r="O17" s="88"/>
      <c r="P17" s="171"/>
      <c r="Q17" s="87"/>
      <c r="R17" s="87"/>
      <c r="S17" s="87"/>
      <c r="T17" s="88"/>
      <c r="U17" s="171"/>
      <c r="V17" s="87">
        <f>211813.87+12219.72</f>
        <v>224033.59</v>
      </c>
      <c r="W17" s="87"/>
      <c r="X17" s="157">
        <f t="shared" si="1"/>
        <v>981752.25</v>
      </c>
      <c r="Y17" s="87">
        <f t="shared" si="2"/>
        <v>0</v>
      </c>
      <c r="Z17" s="87"/>
      <c r="AA17" s="87"/>
      <c r="AB17" s="87">
        <v>981752.25</v>
      </c>
      <c r="AC17" s="87"/>
      <c r="AD17" s="87"/>
      <c r="AE17" s="87"/>
      <c r="AF17" s="87"/>
      <c r="AG17" s="87"/>
      <c r="AH17" s="172"/>
      <c r="AI17" s="88"/>
      <c r="AJ17" s="171">
        <v>293513</v>
      </c>
      <c r="AK17" s="87"/>
      <c r="AL17" s="87"/>
      <c r="AM17" s="157">
        <v>37555.56</v>
      </c>
      <c r="AN17" s="157">
        <v>0</v>
      </c>
      <c r="AO17" s="157">
        <v>7562.19</v>
      </c>
      <c r="AP17" s="87">
        <v>9333.41</v>
      </c>
      <c r="AQ17" s="87"/>
      <c r="AR17" s="87"/>
      <c r="AS17" s="87"/>
      <c r="AT17" s="87"/>
      <c r="AU17" s="88"/>
      <c r="AV17" s="171"/>
      <c r="AW17" s="87"/>
      <c r="AX17" s="88"/>
      <c r="AY17" s="164"/>
      <c r="AZ17" s="173"/>
      <c r="BA17" s="162"/>
      <c r="BB17" s="87" t="e">
        <f>AY17+AV17+AS17+AP17+#REF!+AL17+AK17+AJ17+Y17+X17+W17+V17+U17+T17+R17+Q17+P17</f>
        <v>#REF!</v>
      </c>
      <c r="BC17" s="87" t="e">
        <f t="shared" si="0"/>
        <v>#REF!</v>
      </c>
    </row>
    <row r="18" spans="2:55" s="163" customFormat="1" ht="163.5" customHeight="1" thickBot="1" x14ac:dyDescent="0.25">
      <c r="B18" s="146"/>
      <c r="C18" s="147" t="e">
        <f>J18-#REF!</f>
        <v>#REF!</v>
      </c>
      <c r="D18" s="148" t="s">
        <v>230</v>
      </c>
      <c r="E18" s="165" t="s">
        <v>231</v>
      </c>
      <c r="F18" s="166"/>
      <c r="G18" s="167"/>
      <c r="H18" s="168" t="s">
        <v>112</v>
      </c>
      <c r="I18" s="169" t="s">
        <v>232</v>
      </c>
      <c r="J18" s="170">
        <f>695066.93+46213.08+3030000</f>
        <v>3771280.01</v>
      </c>
      <c r="K18" s="164">
        <v>669286.12</v>
      </c>
      <c r="L18" s="171">
        <v>501993.89</v>
      </c>
      <c r="M18" s="87">
        <v>1600000</v>
      </c>
      <c r="N18" s="87">
        <v>1000000</v>
      </c>
      <c r="O18" s="88"/>
      <c r="P18" s="171"/>
      <c r="Q18" s="87"/>
      <c r="R18" s="87"/>
      <c r="S18" s="87"/>
      <c r="T18" s="88"/>
      <c r="U18" s="171"/>
      <c r="V18" s="87"/>
      <c r="W18" s="87">
        <v>341078.72</v>
      </c>
      <c r="X18" s="157">
        <f t="shared" si="1"/>
        <v>0</v>
      </c>
      <c r="Y18" s="87">
        <f t="shared" si="2"/>
        <v>2108.35</v>
      </c>
      <c r="Z18" s="87"/>
      <c r="AA18" s="87"/>
      <c r="AB18" s="87"/>
      <c r="AC18" s="87"/>
      <c r="AD18" s="87"/>
      <c r="AE18" s="87"/>
      <c r="AF18" s="87"/>
      <c r="AG18" s="87">
        <v>2108.35</v>
      </c>
      <c r="AH18" s="172"/>
      <c r="AI18" s="88"/>
      <c r="AJ18" s="171"/>
      <c r="AK18" s="87"/>
      <c r="AL18" s="87"/>
      <c r="AM18" s="157">
        <v>7211.37</v>
      </c>
      <c r="AN18" s="157">
        <v>0</v>
      </c>
      <c r="AO18" s="157">
        <v>1031709.91</v>
      </c>
      <c r="AP18" s="87">
        <v>1389171.66</v>
      </c>
      <c r="AQ18" s="87"/>
      <c r="AR18" s="87"/>
      <c r="AS18" s="87"/>
      <c r="AT18" s="87"/>
      <c r="AU18" s="88"/>
      <c r="AV18" s="171">
        <v>1000000</v>
      </c>
      <c r="AW18" s="87"/>
      <c r="AX18" s="88"/>
      <c r="AY18" s="164"/>
      <c r="AZ18" s="173"/>
      <c r="BA18" s="162"/>
      <c r="BB18" s="87" t="e">
        <f>AY18+AV18+AS18+AP18+#REF!+AL18+AK18+AJ18+Y18+X18+W18+V18+U18+T18+R18+Q18+P18+AZ18</f>
        <v>#REF!</v>
      </c>
      <c r="BC18" s="87" t="e">
        <f t="shared" si="0"/>
        <v>#REF!</v>
      </c>
    </row>
    <row r="19" spans="2:55" s="163" customFormat="1" ht="117" thickBot="1" x14ac:dyDescent="0.25">
      <c r="B19" s="146"/>
      <c r="C19" s="147" t="e">
        <f>J19-#REF!</f>
        <v>#REF!</v>
      </c>
      <c r="D19" s="148" t="s">
        <v>233</v>
      </c>
      <c r="E19" s="165">
        <v>1784</v>
      </c>
      <c r="F19" s="166"/>
      <c r="G19" s="167"/>
      <c r="H19" s="168" t="s">
        <v>112</v>
      </c>
      <c r="I19" s="169" t="s">
        <v>234</v>
      </c>
      <c r="J19" s="170">
        <f>555800.53+450000</f>
        <v>1005800.53</v>
      </c>
      <c r="K19" s="164">
        <v>17264.810000000001</v>
      </c>
      <c r="L19" s="171">
        <v>150000</v>
      </c>
      <c r="M19" s="87">
        <v>838535.72</v>
      </c>
      <c r="N19" s="87"/>
      <c r="O19" s="88"/>
      <c r="P19" s="171"/>
      <c r="Q19" s="87"/>
      <c r="R19" s="87"/>
      <c r="S19" s="87"/>
      <c r="T19" s="88"/>
      <c r="U19" s="171"/>
      <c r="V19" s="87"/>
      <c r="W19" s="87"/>
      <c r="X19" s="157">
        <f t="shared" si="1"/>
        <v>0</v>
      </c>
      <c r="Y19" s="87">
        <f t="shared" si="2"/>
        <v>0</v>
      </c>
      <c r="Z19" s="87"/>
      <c r="AA19" s="87"/>
      <c r="AB19" s="87"/>
      <c r="AC19" s="87"/>
      <c r="AD19" s="87"/>
      <c r="AE19" s="87"/>
      <c r="AF19" s="87"/>
      <c r="AG19" s="87"/>
      <c r="AH19" s="172"/>
      <c r="AI19" s="88"/>
      <c r="AJ19" s="171"/>
      <c r="AK19" s="87"/>
      <c r="AL19" s="87"/>
      <c r="AM19" s="157">
        <v>17264.810000000001</v>
      </c>
      <c r="AN19" s="157">
        <v>150000</v>
      </c>
      <c r="AO19" s="157">
        <v>838535.72</v>
      </c>
      <c r="AP19" s="87">
        <v>0</v>
      </c>
      <c r="AQ19" s="87"/>
      <c r="AR19" s="87"/>
      <c r="AS19" s="87"/>
      <c r="AT19" s="87"/>
      <c r="AU19" s="88"/>
      <c r="AV19" s="171"/>
      <c r="AW19" s="87"/>
      <c r="AX19" s="88"/>
      <c r="AY19" s="164"/>
      <c r="AZ19" s="173"/>
      <c r="BA19" s="175" t="s">
        <v>235</v>
      </c>
      <c r="BB19" s="87" t="e">
        <f>AY19+AV19+AS19+AP19+#REF!+AL19+AK19+AJ19+Y19+X19+W19+V19+U19+T19+R19+Q19+P19</f>
        <v>#REF!</v>
      </c>
      <c r="BC19" s="87" t="e">
        <f t="shared" si="0"/>
        <v>#REF!</v>
      </c>
    </row>
    <row r="20" spans="2:55" s="163" customFormat="1" ht="150" customHeight="1" thickBot="1" x14ac:dyDescent="0.25">
      <c r="B20" s="146"/>
      <c r="C20" s="147" t="e">
        <f>J20-#REF!</f>
        <v>#REF!</v>
      </c>
      <c r="D20" s="148" t="s">
        <v>236</v>
      </c>
      <c r="E20" s="165">
        <v>1781</v>
      </c>
      <c r="F20" s="166"/>
      <c r="G20" s="167"/>
      <c r="H20" s="174" t="s">
        <v>112</v>
      </c>
      <c r="I20" s="169" t="s">
        <v>237</v>
      </c>
      <c r="J20" s="170">
        <v>998464</v>
      </c>
      <c r="K20" s="164">
        <v>0</v>
      </c>
      <c r="L20" s="171">
        <v>200000</v>
      </c>
      <c r="M20" s="87">
        <v>250000</v>
      </c>
      <c r="N20" s="87">
        <v>548464</v>
      </c>
      <c r="O20" s="88"/>
      <c r="P20" s="171"/>
      <c r="Q20" s="87"/>
      <c r="R20" s="87"/>
      <c r="S20" s="87"/>
      <c r="T20" s="88"/>
      <c r="U20" s="171"/>
      <c r="V20" s="87"/>
      <c r="W20" s="87"/>
      <c r="X20" s="157">
        <f t="shared" si="1"/>
        <v>0</v>
      </c>
      <c r="Y20" s="87">
        <f t="shared" si="2"/>
        <v>998464</v>
      </c>
      <c r="Z20" s="87"/>
      <c r="AA20" s="87"/>
      <c r="AB20" s="87"/>
      <c r="AC20" s="87"/>
      <c r="AD20" s="87"/>
      <c r="AE20" s="87"/>
      <c r="AF20" s="87"/>
      <c r="AG20" s="87"/>
      <c r="AH20" s="172"/>
      <c r="AI20" s="87">
        <v>998464</v>
      </c>
      <c r="AJ20" s="171"/>
      <c r="AK20" s="87"/>
      <c r="AL20" s="87"/>
      <c r="AM20" s="157">
        <v>0</v>
      </c>
      <c r="AN20" s="157">
        <v>0</v>
      </c>
      <c r="AO20" s="157">
        <v>0</v>
      </c>
      <c r="AP20" s="87">
        <v>0</v>
      </c>
      <c r="AQ20" s="87"/>
      <c r="AR20" s="87"/>
      <c r="AS20" s="87"/>
      <c r="AT20" s="87"/>
      <c r="AU20" s="88"/>
      <c r="AV20" s="171"/>
      <c r="AW20" s="87"/>
      <c r="AX20" s="88"/>
      <c r="AY20" s="164"/>
      <c r="AZ20" s="173"/>
      <c r="BA20" s="162"/>
      <c r="BB20" s="87" t="e">
        <f>AY20+AV20+AS20+AP20+#REF!+AL20+AK20+AJ20+Y20+X20+W20+V20+U20+T20+R20+Q20+P20</f>
        <v>#REF!</v>
      </c>
      <c r="BC20" s="87" t="e">
        <f t="shared" si="0"/>
        <v>#REF!</v>
      </c>
    </row>
    <row r="21" spans="2:55" s="163" customFormat="1" ht="84.75" customHeight="1" thickBot="1" x14ac:dyDescent="0.25">
      <c r="B21" s="146"/>
      <c r="C21" s="147" t="e">
        <f>J21-#REF!</f>
        <v>#REF!</v>
      </c>
      <c r="D21" s="148" t="s">
        <v>238</v>
      </c>
      <c r="E21" s="165" t="s">
        <v>239</v>
      </c>
      <c r="F21" s="166"/>
      <c r="G21" s="167"/>
      <c r="H21" s="174" t="s">
        <v>112</v>
      </c>
      <c r="I21" s="169" t="s">
        <v>240</v>
      </c>
      <c r="J21" s="170">
        <v>402598.62</v>
      </c>
      <c r="K21" s="164">
        <v>402598.62</v>
      </c>
      <c r="L21" s="171"/>
      <c r="M21" s="87"/>
      <c r="N21" s="87"/>
      <c r="O21" s="88"/>
      <c r="P21" s="171"/>
      <c r="Q21" s="87"/>
      <c r="R21" s="87"/>
      <c r="S21" s="87"/>
      <c r="T21" s="88"/>
      <c r="U21" s="171"/>
      <c r="V21" s="87"/>
      <c r="W21" s="87">
        <v>402598.62</v>
      </c>
      <c r="X21" s="157">
        <f t="shared" si="1"/>
        <v>0</v>
      </c>
      <c r="Y21" s="87">
        <f t="shared" si="2"/>
        <v>0</v>
      </c>
      <c r="Z21" s="87"/>
      <c r="AA21" s="87"/>
      <c r="AB21" s="87"/>
      <c r="AC21" s="87"/>
      <c r="AD21" s="87"/>
      <c r="AE21" s="87"/>
      <c r="AF21" s="87"/>
      <c r="AG21" s="87"/>
      <c r="AH21" s="172"/>
      <c r="AI21" s="88"/>
      <c r="AJ21" s="171"/>
      <c r="AK21" s="87"/>
      <c r="AL21" s="87"/>
      <c r="AM21" s="157">
        <v>0</v>
      </c>
      <c r="AN21" s="157">
        <v>0</v>
      </c>
      <c r="AO21" s="157">
        <v>0</v>
      </c>
      <c r="AP21" s="87">
        <v>0</v>
      </c>
      <c r="AQ21" s="87"/>
      <c r="AR21" s="87"/>
      <c r="AS21" s="87"/>
      <c r="AT21" s="87"/>
      <c r="AU21" s="88"/>
      <c r="AV21" s="171"/>
      <c r="AW21" s="87"/>
      <c r="AX21" s="88"/>
      <c r="AY21" s="164"/>
      <c r="AZ21" s="173"/>
      <c r="BA21" s="162"/>
      <c r="BB21" s="87" t="e">
        <f>AY21+AV21+AS21+AP21+#REF!+AL21+AK21+AJ21+Y21+X21+W21+V21+U21+T21+R21+Q21+P21</f>
        <v>#REF!</v>
      </c>
      <c r="BC21" s="87" t="e">
        <f t="shared" si="0"/>
        <v>#REF!</v>
      </c>
    </row>
    <row r="22" spans="2:55" s="163" customFormat="1" ht="147" customHeight="1" thickBot="1" x14ac:dyDescent="0.25">
      <c r="B22" s="146"/>
      <c r="C22" s="147" t="e">
        <f>J22-#REF!</f>
        <v>#REF!</v>
      </c>
      <c r="D22" s="148" t="s">
        <v>241</v>
      </c>
      <c r="E22" s="165" t="s">
        <v>242</v>
      </c>
      <c r="F22" s="166"/>
      <c r="G22" s="167"/>
      <c r="H22" s="168" t="s">
        <v>112</v>
      </c>
      <c r="I22" s="169" t="s">
        <v>243</v>
      </c>
      <c r="J22" s="170">
        <v>189103.78</v>
      </c>
      <c r="K22" s="164"/>
      <c r="L22" s="171">
        <v>189103.78</v>
      </c>
      <c r="M22" s="87"/>
      <c r="N22" s="87"/>
      <c r="O22" s="88"/>
      <c r="P22" s="171"/>
      <c r="Q22" s="87"/>
      <c r="R22" s="171">
        <v>189103.78</v>
      </c>
      <c r="S22" s="87"/>
      <c r="T22" s="88"/>
      <c r="U22" s="171"/>
      <c r="V22" s="87"/>
      <c r="W22" s="87"/>
      <c r="X22" s="157">
        <f t="shared" si="1"/>
        <v>0</v>
      </c>
      <c r="Y22" s="87">
        <f t="shared" si="2"/>
        <v>0</v>
      </c>
      <c r="Z22" s="87"/>
      <c r="AA22" s="87"/>
      <c r="AB22" s="87"/>
      <c r="AC22" s="87"/>
      <c r="AD22" s="87"/>
      <c r="AE22" s="87"/>
      <c r="AF22" s="87"/>
      <c r="AG22" s="87"/>
      <c r="AH22" s="172"/>
      <c r="AI22" s="88"/>
      <c r="AJ22" s="171"/>
      <c r="AK22" s="87"/>
      <c r="AL22" s="87"/>
      <c r="AM22" s="157">
        <v>0</v>
      </c>
      <c r="AN22" s="157">
        <v>0</v>
      </c>
      <c r="AO22" s="157">
        <v>0</v>
      </c>
      <c r="AP22" s="87">
        <v>0</v>
      </c>
      <c r="AQ22" s="87"/>
      <c r="AR22" s="87"/>
      <c r="AS22" s="87"/>
      <c r="AT22" s="87"/>
      <c r="AU22" s="88"/>
      <c r="AV22" s="171"/>
      <c r="AW22" s="87"/>
      <c r="AX22" s="88"/>
      <c r="AY22" s="164"/>
      <c r="AZ22" s="173"/>
      <c r="BA22" s="162"/>
      <c r="BB22" s="87" t="e">
        <f>AY22+AV22+AS22+AP22+#REF!+AL22+AK22+AJ22+Y22+X22+W22+V22+U22+T22+R22+Q22+P22</f>
        <v>#REF!</v>
      </c>
      <c r="BC22" s="87" t="e">
        <f t="shared" si="0"/>
        <v>#REF!</v>
      </c>
    </row>
    <row r="23" spans="2:55" s="163" customFormat="1" ht="176.25" customHeight="1" thickBot="1" x14ac:dyDescent="0.25">
      <c r="B23" s="146"/>
      <c r="C23" s="147" t="e">
        <f>J23-#REF!</f>
        <v>#REF!</v>
      </c>
      <c r="D23" s="148" t="s">
        <v>244</v>
      </c>
      <c r="E23" s="165">
        <v>1788</v>
      </c>
      <c r="F23" s="166"/>
      <c r="G23" s="167"/>
      <c r="H23" s="168" t="s">
        <v>112</v>
      </c>
      <c r="I23" s="169" t="s">
        <v>245</v>
      </c>
      <c r="J23" s="170">
        <f>80000-80000</f>
        <v>0</v>
      </c>
      <c r="K23" s="164">
        <v>0</v>
      </c>
      <c r="L23" s="171"/>
      <c r="M23" s="87">
        <f>80000-80000</f>
        <v>0</v>
      </c>
      <c r="N23" s="87"/>
      <c r="O23" s="88"/>
      <c r="P23" s="171"/>
      <c r="Q23" s="87"/>
      <c r="R23" s="87"/>
      <c r="S23" s="87"/>
      <c r="T23" s="88"/>
      <c r="U23" s="171"/>
      <c r="V23" s="87"/>
      <c r="W23" s="87"/>
      <c r="X23" s="157">
        <f t="shared" si="1"/>
        <v>0</v>
      </c>
      <c r="Y23" s="87">
        <f t="shared" si="2"/>
        <v>0</v>
      </c>
      <c r="Z23" s="87"/>
      <c r="AA23" s="87"/>
      <c r="AB23" s="87"/>
      <c r="AC23" s="87"/>
      <c r="AD23" s="87"/>
      <c r="AE23" s="87"/>
      <c r="AF23" s="87"/>
      <c r="AG23" s="87"/>
      <c r="AH23" s="172"/>
      <c r="AI23" s="88"/>
      <c r="AJ23" s="171"/>
      <c r="AK23" s="87"/>
      <c r="AL23" s="87"/>
      <c r="AM23" s="157">
        <v>0</v>
      </c>
      <c r="AN23" s="157">
        <v>0</v>
      </c>
      <c r="AO23" s="157">
        <v>0</v>
      </c>
      <c r="AP23" s="87">
        <v>0</v>
      </c>
      <c r="AQ23" s="87"/>
      <c r="AR23" s="87"/>
      <c r="AS23" s="87"/>
      <c r="AT23" s="87"/>
      <c r="AU23" s="88"/>
      <c r="AV23" s="171"/>
      <c r="AW23" s="87"/>
      <c r="AX23" s="88"/>
      <c r="AY23" s="164"/>
      <c r="AZ23" s="173"/>
      <c r="BA23" s="162"/>
      <c r="BB23" s="87" t="e">
        <f>AY23+AV23+AS23+AP23+#REF!+AL23+AK23+AJ23+Y23+X23+W23+V23+U23+T23+R23+Q23+P23</f>
        <v>#REF!</v>
      </c>
      <c r="BC23" s="87" t="e">
        <f t="shared" si="0"/>
        <v>#REF!</v>
      </c>
    </row>
    <row r="24" spans="2:55" s="163" customFormat="1" ht="179.25" customHeight="1" thickBot="1" x14ac:dyDescent="0.25">
      <c r="B24" s="146"/>
      <c r="C24" s="147" t="e">
        <f>J24-#REF!</f>
        <v>#REF!</v>
      </c>
      <c r="D24" s="148" t="s">
        <v>246</v>
      </c>
      <c r="E24" s="165"/>
      <c r="F24" s="166"/>
      <c r="G24" s="167"/>
      <c r="H24" s="168" t="s">
        <v>112</v>
      </c>
      <c r="I24" s="169" t="s">
        <v>247</v>
      </c>
      <c r="J24" s="170">
        <v>4500000</v>
      </c>
      <c r="K24" s="164">
        <v>0</v>
      </c>
      <c r="L24" s="171">
        <f>250000-150000</f>
        <v>100000</v>
      </c>
      <c r="M24" s="87">
        <f>1000000+150000</f>
        <v>1150000</v>
      </c>
      <c r="N24" s="87">
        <v>750000</v>
      </c>
      <c r="O24" s="88">
        <v>2500000</v>
      </c>
      <c r="P24" s="171"/>
      <c r="Q24" s="87"/>
      <c r="R24" s="87"/>
      <c r="S24" s="87"/>
      <c r="T24" s="88"/>
      <c r="U24" s="171"/>
      <c r="V24" s="87"/>
      <c r="W24" s="87"/>
      <c r="X24" s="157">
        <f t="shared" si="1"/>
        <v>0</v>
      </c>
      <c r="Y24" s="87">
        <f t="shared" si="2"/>
        <v>0</v>
      </c>
      <c r="Z24" s="87"/>
      <c r="AA24" s="87"/>
      <c r="AB24" s="87"/>
      <c r="AC24" s="87"/>
      <c r="AD24" s="87"/>
      <c r="AE24" s="87"/>
      <c r="AF24" s="87"/>
      <c r="AG24" s="87"/>
      <c r="AH24" s="172"/>
      <c r="AI24" s="88"/>
      <c r="AJ24" s="171"/>
      <c r="AK24" s="87"/>
      <c r="AL24" s="87"/>
      <c r="AM24" s="157">
        <v>0</v>
      </c>
      <c r="AN24" s="157">
        <v>100000</v>
      </c>
      <c r="AO24" s="157">
        <v>2150000</v>
      </c>
      <c r="AP24" s="87">
        <v>2250000</v>
      </c>
      <c r="AQ24" s="87"/>
      <c r="AR24" s="87"/>
      <c r="AS24" s="87"/>
      <c r="AT24" s="87"/>
      <c r="AU24" s="88"/>
      <c r="AV24" s="171"/>
      <c r="AW24" s="87"/>
      <c r="AX24" s="88"/>
      <c r="AY24" s="164">
        <f>2500000-2500000</f>
        <v>0</v>
      </c>
      <c r="AZ24" s="173"/>
      <c r="BA24" s="162"/>
      <c r="BB24" s="87" t="e">
        <f>AY24+AV24+AS24+AP24+#REF!+AL24+AK24+AJ24+Y24+X24+W24+V24+U24+T24+R24+Q24+P24</f>
        <v>#REF!</v>
      </c>
      <c r="BC24" s="87" t="e">
        <f t="shared" si="0"/>
        <v>#REF!</v>
      </c>
    </row>
    <row r="25" spans="2:55" s="163" customFormat="1" ht="168" customHeight="1" thickBot="1" x14ac:dyDescent="0.25">
      <c r="B25" s="146"/>
      <c r="C25" s="147" t="e">
        <f>J25-#REF!</f>
        <v>#REF!</v>
      </c>
      <c r="D25" s="148" t="s">
        <v>248</v>
      </c>
      <c r="E25" s="165"/>
      <c r="F25" s="166"/>
      <c r="G25" s="167"/>
      <c r="H25" s="168" t="s">
        <v>112</v>
      </c>
      <c r="I25" s="169" t="s">
        <v>249</v>
      </c>
      <c r="J25" s="170">
        <v>4962000</v>
      </c>
      <c r="K25" s="164">
        <v>12914.51</v>
      </c>
      <c r="L25" s="176">
        <v>200000</v>
      </c>
      <c r="M25" s="177">
        <v>1651676.53</v>
      </c>
      <c r="N25" s="177">
        <v>3097408.96</v>
      </c>
      <c r="O25" s="88"/>
      <c r="P25" s="171"/>
      <c r="Q25" s="87"/>
      <c r="R25" s="87"/>
      <c r="S25" s="87"/>
      <c r="T25" s="88"/>
      <c r="U25" s="171"/>
      <c r="V25" s="87"/>
      <c r="W25" s="87"/>
      <c r="X25" s="157">
        <f t="shared" si="1"/>
        <v>0</v>
      </c>
      <c r="Y25" s="87">
        <f t="shared" si="2"/>
        <v>0</v>
      </c>
      <c r="Z25" s="87"/>
      <c r="AA25" s="87"/>
      <c r="AB25" s="87"/>
      <c r="AC25" s="87"/>
      <c r="AD25" s="87"/>
      <c r="AE25" s="87"/>
      <c r="AF25" s="87"/>
      <c r="AG25" s="87"/>
      <c r="AH25" s="172"/>
      <c r="AI25" s="88"/>
      <c r="AJ25" s="171"/>
      <c r="AK25" s="87"/>
      <c r="AL25" s="87"/>
      <c r="AM25" s="157">
        <v>12914.510000000002</v>
      </c>
      <c r="AN25" s="157">
        <v>200000</v>
      </c>
      <c r="AO25" s="157">
        <v>2349085.4900000002</v>
      </c>
      <c r="AP25" s="87">
        <v>2400000</v>
      </c>
      <c r="AQ25" s="87"/>
      <c r="AR25" s="87"/>
      <c r="AS25" s="87"/>
      <c r="AT25" s="87"/>
      <c r="AU25" s="88"/>
      <c r="AV25" s="171"/>
      <c r="AW25" s="87"/>
      <c r="AX25" s="88"/>
      <c r="AY25" s="164"/>
      <c r="AZ25" s="173"/>
      <c r="BA25" s="178"/>
      <c r="BB25" s="87" t="e">
        <f>AY25+AV25+AS25+AP25+#REF!+AL25+AK25+AJ25+Y25+X25+W25+V25+U25+T25+R25+Q25+P25</f>
        <v>#REF!</v>
      </c>
      <c r="BC25" s="87" t="e">
        <f t="shared" si="0"/>
        <v>#REF!</v>
      </c>
    </row>
    <row r="26" spans="2:55" s="163" customFormat="1" ht="94.5" customHeight="1" thickBot="1" x14ac:dyDescent="0.25">
      <c r="B26" s="146"/>
      <c r="C26" s="147" t="e">
        <f>J26-#REF!</f>
        <v>#REF!</v>
      </c>
      <c r="D26" s="148" t="s">
        <v>250</v>
      </c>
      <c r="E26" s="165" t="s">
        <v>251</v>
      </c>
      <c r="F26" s="166"/>
      <c r="G26" s="167"/>
      <c r="H26" s="174" t="s">
        <v>112</v>
      </c>
      <c r="I26" s="169" t="s">
        <v>252</v>
      </c>
      <c r="J26" s="170">
        <v>797548.8</v>
      </c>
      <c r="K26" s="164">
        <v>411606.48</v>
      </c>
      <c r="L26" s="171">
        <v>120000</v>
      </c>
      <c r="M26" s="87">
        <v>265942.32</v>
      </c>
      <c r="N26" s="87"/>
      <c r="O26" s="88"/>
      <c r="P26" s="171"/>
      <c r="Q26" s="87"/>
      <c r="R26" s="87"/>
      <c r="S26" s="87"/>
      <c r="T26" s="88"/>
      <c r="U26" s="171"/>
      <c r="V26" s="87"/>
      <c r="W26" s="87"/>
      <c r="X26" s="157">
        <f t="shared" si="1"/>
        <v>0</v>
      </c>
      <c r="Y26" s="87">
        <f t="shared" si="2"/>
        <v>640000</v>
      </c>
      <c r="Z26" s="87"/>
      <c r="AA26" s="87"/>
      <c r="AB26" s="87"/>
      <c r="AC26" s="87"/>
      <c r="AD26" s="87"/>
      <c r="AE26" s="87"/>
      <c r="AF26" s="87"/>
      <c r="AG26" s="87">
        <v>640000</v>
      </c>
      <c r="AH26" s="172"/>
      <c r="AI26" s="88"/>
      <c r="AJ26" s="171"/>
      <c r="AK26" s="87"/>
      <c r="AL26" s="87"/>
      <c r="AM26" s="157">
        <v>0</v>
      </c>
      <c r="AN26" s="157">
        <v>0</v>
      </c>
      <c r="AO26" s="157">
        <v>107548.8</v>
      </c>
      <c r="AP26" s="87">
        <v>50000</v>
      </c>
      <c r="AQ26" s="87"/>
      <c r="AR26" s="87"/>
      <c r="AS26" s="87"/>
      <c r="AT26" s="87"/>
      <c r="AU26" s="88"/>
      <c r="AV26" s="171"/>
      <c r="AW26" s="87"/>
      <c r="AX26" s="88"/>
      <c r="AY26" s="164"/>
      <c r="AZ26" s="173"/>
      <c r="BA26" s="162"/>
      <c r="BB26" s="87" t="e">
        <f>AY26+AV26+AS26+AP26+#REF!+AL26+AK26+AJ26+Y26+X26+W26+V26+U26+T26+R26+Q26+P26</f>
        <v>#REF!</v>
      </c>
      <c r="BC26" s="87" t="e">
        <f t="shared" si="0"/>
        <v>#REF!</v>
      </c>
    </row>
    <row r="27" spans="2:55" s="163" customFormat="1" ht="70.5" thickBot="1" x14ac:dyDescent="0.25">
      <c r="B27" s="146"/>
      <c r="C27" s="147" t="e">
        <f>J27-#REF!</f>
        <v>#REF!</v>
      </c>
      <c r="D27" s="148" t="s">
        <v>253</v>
      </c>
      <c r="E27" s="165" t="s">
        <v>254</v>
      </c>
      <c r="F27" s="166"/>
      <c r="G27" s="167"/>
      <c r="H27" s="174" t="s">
        <v>112</v>
      </c>
      <c r="I27" s="169" t="s">
        <v>255</v>
      </c>
      <c r="J27" s="170">
        <v>2866675.67</v>
      </c>
      <c r="K27" s="164">
        <v>361449.36</v>
      </c>
      <c r="L27" s="171">
        <f>305226.31-43951.82</f>
        <v>261274.49</v>
      </c>
      <c r="M27" s="87">
        <f>100000+43951.82</f>
        <v>143951.82</v>
      </c>
      <c r="N27" s="87">
        <v>800000</v>
      </c>
      <c r="O27" s="88">
        <v>1300000</v>
      </c>
      <c r="P27" s="171"/>
      <c r="Q27" s="87"/>
      <c r="R27" s="87"/>
      <c r="S27" s="87"/>
      <c r="T27" s="88"/>
      <c r="U27" s="171"/>
      <c r="V27" s="87"/>
      <c r="W27" s="87"/>
      <c r="X27" s="157">
        <f t="shared" si="1"/>
        <v>336675.67</v>
      </c>
      <c r="Y27" s="87">
        <f t="shared" si="2"/>
        <v>0</v>
      </c>
      <c r="Z27" s="87"/>
      <c r="AA27" s="87"/>
      <c r="AB27" s="87"/>
      <c r="AC27" s="87"/>
      <c r="AD27" s="87"/>
      <c r="AE27" s="87"/>
      <c r="AF27" s="87">
        <v>336675.67</v>
      </c>
      <c r="AG27" s="87"/>
      <c r="AH27" s="172">
        <f>25000-25000</f>
        <v>0</v>
      </c>
      <c r="AI27" s="88"/>
      <c r="AJ27" s="171"/>
      <c r="AK27" s="87"/>
      <c r="AL27" s="87"/>
      <c r="AM27" s="157">
        <v>61048.18</v>
      </c>
      <c r="AN27" s="157">
        <v>225000</v>
      </c>
      <c r="AO27" s="157">
        <v>143951.82</v>
      </c>
      <c r="AP27" s="87">
        <v>1300000</v>
      </c>
      <c r="AQ27" s="87"/>
      <c r="AR27" s="87"/>
      <c r="AS27" s="87"/>
      <c r="AT27" s="87"/>
      <c r="AU27" s="88"/>
      <c r="AV27" s="171"/>
      <c r="AW27" s="87"/>
      <c r="AX27" s="88"/>
      <c r="AY27" s="164">
        <v>800000</v>
      </c>
      <c r="AZ27" s="173"/>
      <c r="BA27" s="179" t="s">
        <v>256</v>
      </c>
      <c r="BB27" s="87" t="e">
        <f>AY27+AV27+AS27+AP27+#REF!+AL27+AK27+AJ27+Y27+X27+W27+V27+U27+T27+R27+Q27+P27</f>
        <v>#REF!</v>
      </c>
      <c r="BC27" s="87" t="e">
        <f t="shared" si="0"/>
        <v>#REF!</v>
      </c>
    </row>
    <row r="28" spans="2:55" s="163" customFormat="1" ht="55.5" customHeight="1" thickBot="1" x14ac:dyDescent="0.25">
      <c r="B28" s="146"/>
      <c r="C28" s="147" t="e">
        <f>J28-#REF!</f>
        <v>#REF!</v>
      </c>
      <c r="D28" s="148" t="s">
        <v>257</v>
      </c>
      <c r="E28" s="165" t="s">
        <v>258</v>
      </c>
      <c r="F28" s="166"/>
      <c r="G28" s="167"/>
      <c r="H28" s="168" t="s">
        <v>112</v>
      </c>
      <c r="I28" s="169" t="s">
        <v>259</v>
      </c>
      <c r="J28" s="170">
        <f>1585270.23-94000+150000</f>
        <v>1641270.23</v>
      </c>
      <c r="K28" s="164">
        <v>614005.77</v>
      </c>
      <c r="L28" s="171">
        <v>149083.98000000001</v>
      </c>
      <c r="M28" s="87">
        <v>578180.48</v>
      </c>
      <c r="N28" s="87">
        <v>150000</v>
      </c>
      <c r="O28" s="88">
        <v>150000</v>
      </c>
      <c r="P28" s="171"/>
      <c r="Q28" s="87"/>
      <c r="R28" s="87"/>
      <c r="S28" s="87"/>
      <c r="T28" s="88"/>
      <c r="U28" s="171"/>
      <c r="V28" s="87"/>
      <c r="W28" s="87">
        <v>147546.06</v>
      </c>
      <c r="X28" s="157">
        <f t="shared" si="1"/>
        <v>0</v>
      </c>
      <c r="Y28" s="87">
        <f t="shared" si="2"/>
        <v>235895.66</v>
      </c>
      <c r="Z28" s="87"/>
      <c r="AA28" s="87"/>
      <c r="AB28" s="87"/>
      <c r="AC28" s="87"/>
      <c r="AD28" s="87"/>
      <c r="AE28" s="87"/>
      <c r="AF28" s="87"/>
      <c r="AG28" s="87">
        <f>219895.66+16000</f>
        <v>235895.66</v>
      </c>
      <c r="AH28" s="172"/>
      <c r="AI28" s="88"/>
      <c r="AJ28" s="171"/>
      <c r="AK28" s="87"/>
      <c r="AL28" s="87">
        <v>9449.07</v>
      </c>
      <c r="AM28" s="157">
        <v>0</v>
      </c>
      <c r="AN28" s="157">
        <v>0</v>
      </c>
      <c r="AO28" s="157">
        <v>458407.26</v>
      </c>
      <c r="AP28" s="87">
        <v>609972.18000000005</v>
      </c>
      <c r="AQ28" s="87"/>
      <c r="AR28" s="87"/>
      <c r="AS28" s="87"/>
      <c r="AT28" s="87"/>
      <c r="AU28" s="88"/>
      <c r="AV28" s="171">
        <v>30000</v>
      </c>
      <c r="AW28" s="87"/>
      <c r="AX28" s="88"/>
      <c r="AY28" s="164">
        <v>150000</v>
      </c>
      <c r="AZ28" s="173"/>
      <c r="BA28" s="162"/>
      <c r="BB28" s="87" t="e">
        <f>AY28+AV28+AS28+AP28+#REF!+AL28+AK28+AJ28+Y28+X28+W28+V28+U28+T28+R28+Q28+P28</f>
        <v>#REF!</v>
      </c>
      <c r="BC28" s="87" t="e">
        <f t="shared" si="0"/>
        <v>#REF!</v>
      </c>
    </row>
    <row r="29" spans="2:55" s="163" customFormat="1" ht="84" customHeight="1" thickBot="1" x14ac:dyDescent="0.25">
      <c r="B29" s="146"/>
      <c r="C29" s="147" t="e">
        <f>J29-#REF!</f>
        <v>#REF!</v>
      </c>
      <c r="D29" s="148" t="s">
        <v>260</v>
      </c>
      <c r="E29" s="165"/>
      <c r="F29" s="166"/>
      <c r="G29" s="167"/>
      <c r="H29" s="168" t="s">
        <v>112</v>
      </c>
      <c r="I29" s="169" t="s">
        <v>261</v>
      </c>
      <c r="J29" s="170">
        <f>50200000-50200000</f>
        <v>0</v>
      </c>
      <c r="K29" s="164">
        <v>0</v>
      </c>
      <c r="L29" s="171"/>
      <c r="M29" s="87"/>
      <c r="N29" s="87"/>
      <c r="O29" s="88"/>
      <c r="P29" s="171"/>
      <c r="Q29" s="87"/>
      <c r="R29" s="87"/>
      <c r="S29" s="87"/>
      <c r="T29" s="88"/>
      <c r="U29" s="171"/>
      <c r="V29" s="87"/>
      <c r="W29" s="87"/>
      <c r="X29" s="157">
        <f t="shared" si="1"/>
        <v>0</v>
      </c>
      <c r="Y29" s="87">
        <f t="shared" si="2"/>
        <v>0</v>
      </c>
      <c r="Z29" s="87"/>
      <c r="AA29" s="87"/>
      <c r="AB29" s="87"/>
      <c r="AC29" s="87"/>
      <c r="AD29" s="87"/>
      <c r="AE29" s="87"/>
      <c r="AF29" s="87"/>
      <c r="AG29" s="87"/>
      <c r="AH29" s="172"/>
      <c r="AI29" s="88"/>
      <c r="AJ29" s="171"/>
      <c r="AK29" s="87"/>
      <c r="AL29" s="87"/>
      <c r="AM29" s="157">
        <v>0</v>
      </c>
      <c r="AN29" s="157">
        <v>0</v>
      </c>
      <c r="AO29" s="157">
        <v>0</v>
      </c>
      <c r="AP29" s="87">
        <v>0</v>
      </c>
      <c r="AQ29" s="87"/>
      <c r="AR29" s="87"/>
      <c r="AS29" s="87"/>
      <c r="AT29" s="87"/>
      <c r="AU29" s="88"/>
      <c r="AV29" s="171"/>
      <c r="AW29" s="87"/>
      <c r="AX29" s="88"/>
      <c r="AY29" s="164">
        <f>50000000-50000000</f>
        <v>0</v>
      </c>
      <c r="AZ29" s="173"/>
      <c r="BA29" s="162"/>
      <c r="BB29" s="87" t="e">
        <f>AY29+AV29+AS29+AP29+#REF!+AL29+AK29+AJ29+Y29+X29+W29+V29+U29+T29+R29+Q29+P29</f>
        <v>#REF!</v>
      </c>
      <c r="BC29" s="87" t="e">
        <f t="shared" si="0"/>
        <v>#REF!</v>
      </c>
    </row>
    <row r="30" spans="2:55" s="163" customFormat="1" ht="245.25" customHeight="1" thickBot="1" x14ac:dyDescent="0.25">
      <c r="B30" s="146"/>
      <c r="C30" s="147" t="e">
        <f>J30-#REF!</f>
        <v>#REF!</v>
      </c>
      <c r="D30" s="148" t="s">
        <v>262</v>
      </c>
      <c r="E30" s="165" t="s">
        <v>263</v>
      </c>
      <c r="F30" s="166"/>
      <c r="G30" s="167"/>
      <c r="H30" s="168" t="s">
        <v>112</v>
      </c>
      <c r="I30" s="169" t="s">
        <v>264</v>
      </c>
      <c r="J30" s="170">
        <v>2600000</v>
      </c>
      <c r="K30" s="164">
        <v>1898727.28</v>
      </c>
      <c r="L30" s="171">
        <v>701272.72</v>
      </c>
      <c r="M30" s="87"/>
      <c r="N30" s="87"/>
      <c r="O30" s="88"/>
      <c r="P30" s="171"/>
      <c r="Q30" s="87"/>
      <c r="R30" s="87"/>
      <c r="S30" s="87"/>
      <c r="T30" s="88"/>
      <c r="U30" s="171"/>
      <c r="V30" s="87"/>
      <c r="W30" s="87"/>
      <c r="X30" s="157">
        <f t="shared" si="1"/>
        <v>1605809.12</v>
      </c>
      <c r="Y30" s="87">
        <f t="shared" si="2"/>
        <v>0</v>
      </c>
      <c r="Z30" s="87"/>
      <c r="AA30" s="87"/>
      <c r="AB30" s="87">
        <v>460601.8</v>
      </c>
      <c r="AC30" s="87"/>
      <c r="AD30" s="87"/>
      <c r="AE30" s="87"/>
      <c r="AF30" s="87">
        <v>1145207.32</v>
      </c>
      <c r="AG30" s="87"/>
      <c r="AH30" s="172"/>
      <c r="AI30" s="88"/>
      <c r="AJ30" s="171"/>
      <c r="AK30" s="87"/>
      <c r="AL30" s="87"/>
      <c r="AM30" s="157">
        <v>628698.12</v>
      </c>
      <c r="AN30" s="157">
        <v>360826.06000000006</v>
      </c>
      <c r="AO30" s="157">
        <v>0</v>
      </c>
      <c r="AP30" s="87">
        <v>4666.7</v>
      </c>
      <c r="AQ30" s="87"/>
      <c r="AR30" s="87"/>
      <c r="AS30" s="87"/>
      <c r="AT30" s="87"/>
      <c r="AU30" s="88"/>
      <c r="AV30" s="171"/>
      <c r="AW30" s="87"/>
      <c r="AX30" s="88"/>
      <c r="AY30" s="164"/>
      <c r="AZ30" s="173"/>
      <c r="BA30" s="162"/>
      <c r="BB30" s="87" t="e">
        <f>AY30+AV30+AS30+AP30+#REF!+AL30+AK30+AJ30+Y30+X30+W30+V30+U30+T30+R30+Q30+P30</f>
        <v>#REF!</v>
      </c>
      <c r="BC30" s="87" t="e">
        <f t="shared" si="0"/>
        <v>#REF!</v>
      </c>
    </row>
    <row r="31" spans="2:55" s="163" customFormat="1" ht="70.5" thickBot="1" x14ac:dyDescent="0.25">
      <c r="B31" s="146"/>
      <c r="C31" s="147" t="e">
        <f>J31-#REF!</f>
        <v>#REF!</v>
      </c>
      <c r="D31" s="148" t="s">
        <v>265</v>
      </c>
      <c r="E31" s="165" t="s">
        <v>266</v>
      </c>
      <c r="F31" s="166"/>
      <c r="G31" s="167"/>
      <c r="H31" s="168" t="s">
        <v>112</v>
      </c>
      <c r="I31" s="169" t="s">
        <v>267</v>
      </c>
      <c r="J31" s="170">
        <f>811000+44688+500000+400000</f>
        <v>1755688</v>
      </c>
      <c r="K31" s="164">
        <v>127029.42</v>
      </c>
      <c r="L31" s="171">
        <v>700000</v>
      </c>
      <c r="M31" s="87">
        <v>928658.58</v>
      </c>
      <c r="N31" s="87"/>
      <c r="O31" s="88"/>
      <c r="P31" s="171"/>
      <c r="Q31" s="87"/>
      <c r="R31" s="87"/>
      <c r="S31" s="87"/>
      <c r="T31" s="88"/>
      <c r="U31" s="171"/>
      <c r="V31" s="87"/>
      <c r="W31" s="87"/>
      <c r="X31" s="157">
        <f t="shared" si="1"/>
        <v>207688</v>
      </c>
      <c r="Y31" s="87">
        <f t="shared" si="2"/>
        <v>0</v>
      </c>
      <c r="Z31" s="87"/>
      <c r="AA31" s="87">
        <v>44688</v>
      </c>
      <c r="AB31" s="87"/>
      <c r="AC31" s="87"/>
      <c r="AD31" s="87"/>
      <c r="AE31" s="87"/>
      <c r="AF31" s="87">
        <v>163000</v>
      </c>
      <c r="AG31" s="87"/>
      <c r="AH31" s="172"/>
      <c r="AI31" s="88"/>
      <c r="AJ31" s="171"/>
      <c r="AK31" s="87"/>
      <c r="AL31" s="87"/>
      <c r="AM31" s="157">
        <v>0</v>
      </c>
      <c r="AN31" s="157">
        <v>619341.42000000004</v>
      </c>
      <c r="AO31" s="157">
        <v>928658.58</v>
      </c>
      <c r="AP31" s="87">
        <v>0</v>
      </c>
      <c r="AQ31" s="87"/>
      <c r="AR31" s="87"/>
      <c r="AS31" s="87"/>
      <c r="AT31" s="87"/>
      <c r="AU31" s="88"/>
      <c r="AV31" s="171"/>
      <c r="AW31" s="87"/>
      <c r="AX31" s="88"/>
      <c r="AY31" s="164"/>
      <c r="AZ31" s="173"/>
      <c r="BA31" s="179" t="s">
        <v>268</v>
      </c>
      <c r="BB31" s="87" t="e">
        <f>AY31+AV31+AS31+AP31+#REF!+AL31+AK31+AJ31+Y31+X31+W31+V31+U31+T31+R31+Q31+P31</f>
        <v>#REF!</v>
      </c>
      <c r="BC31" s="87" t="e">
        <f t="shared" si="0"/>
        <v>#REF!</v>
      </c>
    </row>
    <row r="32" spans="2:55" s="163" customFormat="1" ht="251.25" customHeight="1" thickBot="1" x14ac:dyDescent="0.25">
      <c r="B32" s="146"/>
      <c r="C32" s="147" t="e">
        <f>J32-#REF!</f>
        <v>#REF!</v>
      </c>
      <c r="D32" s="148" t="s">
        <v>269</v>
      </c>
      <c r="E32" s="165"/>
      <c r="F32" s="166"/>
      <c r="G32" s="167"/>
      <c r="H32" s="168" t="s">
        <v>112</v>
      </c>
      <c r="I32" s="169" t="s">
        <v>270</v>
      </c>
      <c r="J32" s="170">
        <f>4338265+2194735-1000000</f>
        <v>5533000</v>
      </c>
      <c r="K32" s="164">
        <v>846363.87</v>
      </c>
      <c r="L32" s="171">
        <v>1000000</v>
      </c>
      <c r="M32" s="87">
        <v>1000000</v>
      </c>
      <c r="N32" s="87">
        <v>1350124</v>
      </c>
      <c r="O32" s="88">
        <v>1336512.1299999999</v>
      </c>
      <c r="P32" s="171"/>
      <c r="Q32" s="87"/>
      <c r="R32" s="87"/>
      <c r="S32" s="87"/>
      <c r="T32" s="88"/>
      <c r="U32" s="171"/>
      <c r="V32" s="87"/>
      <c r="W32" s="87"/>
      <c r="X32" s="157">
        <f t="shared" si="1"/>
        <v>0</v>
      </c>
      <c r="Y32" s="87">
        <f t="shared" si="2"/>
        <v>0</v>
      </c>
      <c r="Z32" s="87"/>
      <c r="AA32" s="87"/>
      <c r="AB32" s="87"/>
      <c r="AC32" s="87"/>
      <c r="AD32" s="87"/>
      <c r="AE32" s="87"/>
      <c r="AF32" s="87"/>
      <c r="AG32" s="87"/>
      <c r="AH32" s="172"/>
      <c r="AI32" s="88"/>
      <c r="AJ32" s="171"/>
      <c r="AK32" s="87"/>
      <c r="AL32" s="87"/>
      <c r="AM32" s="157">
        <v>0</v>
      </c>
      <c r="AN32" s="157">
        <v>0</v>
      </c>
      <c r="AO32" s="157">
        <v>298000</v>
      </c>
      <c r="AP32" s="87">
        <v>0</v>
      </c>
      <c r="AQ32" s="87"/>
      <c r="AR32" s="87"/>
      <c r="AS32" s="87"/>
      <c r="AT32" s="87"/>
      <c r="AU32" s="88"/>
      <c r="AV32" s="171">
        <f>3052124+583778-1000000</f>
        <v>2635902</v>
      </c>
      <c r="AW32" s="87"/>
      <c r="AX32" s="88"/>
      <c r="AY32" s="164">
        <v>2599098</v>
      </c>
      <c r="AZ32" s="173"/>
      <c r="BA32" s="180" t="s">
        <v>271</v>
      </c>
      <c r="BB32" s="87" t="e">
        <f>AY32+AV32+AS32+AP32+#REF!+AL32+AK32+AJ32+Y32+X32+W32+V32+U32+T32+R32+Q32+P32</f>
        <v>#REF!</v>
      </c>
      <c r="BC32" s="87" t="e">
        <f t="shared" si="0"/>
        <v>#REF!</v>
      </c>
    </row>
    <row r="33" spans="2:55" s="163" customFormat="1" ht="93.75" thickBot="1" x14ac:dyDescent="0.25">
      <c r="B33" s="146"/>
      <c r="C33" s="147" t="e">
        <f>J33-#REF!</f>
        <v>#REF!</v>
      </c>
      <c r="D33" s="148" t="s">
        <v>272</v>
      </c>
      <c r="E33" s="165">
        <v>1783</v>
      </c>
      <c r="F33" s="166"/>
      <c r="G33" s="167"/>
      <c r="H33" s="174" t="s">
        <v>112</v>
      </c>
      <c r="I33" s="169" t="s">
        <v>273</v>
      </c>
      <c r="J33" s="170">
        <f>450000-450000</f>
        <v>0</v>
      </c>
      <c r="K33" s="164">
        <v>0</v>
      </c>
      <c r="L33" s="171"/>
      <c r="M33" s="87"/>
      <c r="N33" s="87"/>
      <c r="O33" s="88"/>
      <c r="P33" s="171"/>
      <c r="Q33" s="87"/>
      <c r="R33" s="87"/>
      <c r="S33" s="87"/>
      <c r="T33" s="88"/>
      <c r="U33" s="171"/>
      <c r="V33" s="87"/>
      <c r="W33" s="87"/>
      <c r="X33" s="157">
        <f t="shared" si="1"/>
        <v>0</v>
      </c>
      <c r="Y33" s="87">
        <f t="shared" si="2"/>
        <v>0</v>
      </c>
      <c r="Z33" s="87"/>
      <c r="AA33" s="87"/>
      <c r="AB33" s="87"/>
      <c r="AC33" s="87"/>
      <c r="AD33" s="87"/>
      <c r="AE33" s="87"/>
      <c r="AF33" s="87"/>
      <c r="AG33" s="87"/>
      <c r="AH33" s="172"/>
      <c r="AI33" s="88">
        <f>450000-450000</f>
        <v>0</v>
      </c>
      <c r="AJ33" s="171"/>
      <c r="AK33" s="87"/>
      <c r="AL33" s="87"/>
      <c r="AM33" s="157">
        <v>0</v>
      </c>
      <c r="AN33" s="157">
        <v>0</v>
      </c>
      <c r="AO33" s="157">
        <v>0</v>
      </c>
      <c r="AP33" s="87">
        <v>0</v>
      </c>
      <c r="AQ33" s="87"/>
      <c r="AR33" s="87"/>
      <c r="AS33" s="87"/>
      <c r="AT33" s="87"/>
      <c r="AU33" s="88"/>
      <c r="AV33" s="171"/>
      <c r="AW33" s="87"/>
      <c r="AX33" s="88"/>
      <c r="AY33" s="164"/>
      <c r="AZ33" s="173"/>
      <c r="BA33" s="162"/>
      <c r="BB33" s="87" t="e">
        <f>AY33+AV33+AS33+AP33+#REF!+AL33+AK33+AJ33+Y33+X33+W33+V33+U33+T33+R33+Q33+P33</f>
        <v>#REF!</v>
      </c>
      <c r="BC33" s="87" t="e">
        <f t="shared" si="0"/>
        <v>#REF!</v>
      </c>
    </row>
    <row r="34" spans="2:55" s="163" customFormat="1" ht="279.75" customHeight="1" thickBot="1" x14ac:dyDescent="0.25">
      <c r="B34" s="146"/>
      <c r="C34" s="147" t="e">
        <f>J34-#REF!</f>
        <v>#REF!</v>
      </c>
      <c r="D34" s="148" t="s">
        <v>274</v>
      </c>
      <c r="E34" s="165" t="s">
        <v>275</v>
      </c>
      <c r="F34" s="166"/>
      <c r="G34" s="167"/>
      <c r="H34" s="174" t="s">
        <v>112</v>
      </c>
      <c r="I34" s="169" t="s">
        <v>276</v>
      </c>
      <c r="J34" s="170">
        <v>1797453.94</v>
      </c>
      <c r="K34" s="164">
        <v>586001.96</v>
      </c>
      <c r="L34" s="171">
        <f>260000-200000</f>
        <v>60000</v>
      </c>
      <c r="M34" s="87">
        <f>951451.98+200000</f>
        <v>1151451.98</v>
      </c>
      <c r="N34" s="87"/>
      <c r="O34" s="88"/>
      <c r="P34" s="171"/>
      <c r="Q34" s="87"/>
      <c r="R34" s="87"/>
      <c r="S34" s="87"/>
      <c r="T34" s="88"/>
      <c r="U34" s="171"/>
      <c r="V34" s="87"/>
      <c r="W34" s="87">
        <v>444585.67</v>
      </c>
      <c r="X34" s="157">
        <f t="shared" si="1"/>
        <v>0</v>
      </c>
      <c r="Y34" s="87">
        <f t="shared" si="2"/>
        <v>0</v>
      </c>
      <c r="Z34" s="87"/>
      <c r="AA34" s="87"/>
      <c r="AB34" s="87"/>
      <c r="AC34" s="87"/>
      <c r="AD34" s="87"/>
      <c r="AE34" s="87"/>
      <c r="AF34" s="87"/>
      <c r="AG34" s="87"/>
      <c r="AH34" s="172"/>
      <c r="AI34" s="88"/>
      <c r="AJ34" s="171"/>
      <c r="AK34" s="87"/>
      <c r="AL34" s="87"/>
      <c r="AM34" s="157">
        <v>141416.19</v>
      </c>
      <c r="AN34" s="157">
        <v>60000</v>
      </c>
      <c r="AO34" s="157">
        <v>611452.07999999996</v>
      </c>
      <c r="AP34" s="87">
        <v>540000</v>
      </c>
      <c r="AQ34" s="87"/>
      <c r="AR34" s="87"/>
      <c r="AS34" s="87"/>
      <c r="AT34" s="87"/>
      <c r="AU34" s="88"/>
      <c r="AV34" s="171"/>
      <c r="AW34" s="87"/>
      <c r="AX34" s="88"/>
      <c r="AY34" s="164"/>
      <c r="AZ34" s="173"/>
      <c r="BA34" s="162"/>
      <c r="BB34" s="87" t="e">
        <f>AY34+AV34+AS34+AP34+#REF!+AL34+AK34+AJ34+Y34+X34+W34+V34+U34+T34+R34+Q34+P34</f>
        <v>#REF!</v>
      </c>
      <c r="BC34" s="87" t="e">
        <f t="shared" si="0"/>
        <v>#REF!</v>
      </c>
    </row>
    <row r="35" spans="2:55" s="163" customFormat="1" ht="117" thickBot="1" x14ac:dyDescent="0.25">
      <c r="B35" s="146"/>
      <c r="C35" s="147" t="e">
        <f>J35-#REF!</f>
        <v>#REF!</v>
      </c>
      <c r="D35" s="148" t="s">
        <v>277</v>
      </c>
      <c r="E35" s="165"/>
      <c r="F35" s="166"/>
      <c r="G35" s="167"/>
      <c r="H35" s="168" t="s">
        <v>112</v>
      </c>
      <c r="I35" s="169" t="s">
        <v>278</v>
      </c>
      <c r="J35" s="170">
        <v>700000</v>
      </c>
      <c r="K35" s="164">
        <v>0</v>
      </c>
      <c r="L35" s="87">
        <f>200000-100000</f>
        <v>100000</v>
      </c>
      <c r="M35" s="87">
        <v>100000</v>
      </c>
      <c r="N35" s="87"/>
      <c r="O35" s="88">
        <v>500000</v>
      </c>
      <c r="P35" s="171"/>
      <c r="Q35" s="87"/>
      <c r="R35" s="87"/>
      <c r="S35" s="87"/>
      <c r="T35" s="88"/>
      <c r="U35" s="171"/>
      <c r="V35" s="87"/>
      <c r="W35" s="87"/>
      <c r="X35" s="157">
        <f t="shared" si="1"/>
        <v>0</v>
      </c>
      <c r="Y35" s="87">
        <f t="shared" si="2"/>
        <v>0</v>
      </c>
      <c r="Z35" s="87"/>
      <c r="AA35" s="87"/>
      <c r="AB35" s="87"/>
      <c r="AC35" s="87"/>
      <c r="AD35" s="87"/>
      <c r="AE35" s="87"/>
      <c r="AF35" s="87"/>
      <c r="AG35" s="87"/>
      <c r="AH35" s="172"/>
      <c r="AI35" s="88"/>
      <c r="AJ35" s="171"/>
      <c r="AK35" s="87"/>
      <c r="AL35" s="87"/>
      <c r="AM35" s="157">
        <v>0</v>
      </c>
      <c r="AN35" s="157">
        <v>100000</v>
      </c>
      <c r="AO35" s="157">
        <v>100000</v>
      </c>
      <c r="AP35" s="87">
        <v>0</v>
      </c>
      <c r="AQ35" s="87"/>
      <c r="AR35" s="87"/>
      <c r="AS35" s="87"/>
      <c r="AT35" s="87"/>
      <c r="AU35" s="88"/>
      <c r="AV35" s="171"/>
      <c r="AW35" s="87"/>
      <c r="AX35" s="88"/>
      <c r="AY35" s="164">
        <v>500000</v>
      </c>
      <c r="AZ35" s="173"/>
      <c r="BA35" s="162"/>
      <c r="BB35" s="87" t="e">
        <f>AY35+AV35+AS35+AP35+#REF!+AL35+AK35+AJ35+Y35+X35+W35+V35+U35+T35+R35+Q35+P35</f>
        <v>#REF!</v>
      </c>
      <c r="BC35" s="87" t="e">
        <f t="shared" si="0"/>
        <v>#REF!</v>
      </c>
    </row>
    <row r="36" spans="2:55" s="163" customFormat="1" ht="121.7" customHeight="1" thickBot="1" x14ac:dyDescent="0.25">
      <c r="B36" s="146"/>
      <c r="C36" s="147" t="e">
        <f>J36-#REF!</f>
        <v>#REF!</v>
      </c>
      <c r="D36" s="148" t="s">
        <v>279</v>
      </c>
      <c r="E36" s="165">
        <v>1786</v>
      </c>
      <c r="F36" s="166"/>
      <c r="G36" s="167"/>
      <c r="H36" s="168" t="s">
        <v>112</v>
      </c>
      <c r="I36" s="169" t="s">
        <v>280</v>
      </c>
      <c r="J36" s="170">
        <v>1270000</v>
      </c>
      <c r="K36" s="164">
        <v>5075.2</v>
      </c>
      <c r="L36" s="171">
        <v>94924.800000000003</v>
      </c>
      <c r="M36" s="87">
        <v>1170000</v>
      </c>
      <c r="N36" s="87"/>
      <c r="O36" s="88"/>
      <c r="P36" s="171"/>
      <c r="Q36" s="87"/>
      <c r="R36" s="87"/>
      <c r="S36" s="87"/>
      <c r="T36" s="88"/>
      <c r="U36" s="171"/>
      <c r="V36" s="87"/>
      <c r="W36" s="87"/>
      <c r="X36" s="157">
        <f t="shared" si="1"/>
        <v>0</v>
      </c>
      <c r="Y36" s="87">
        <f t="shared" si="2"/>
        <v>816925</v>
      </c>
      <c r="Z36" s="87"/>
      <c r="AA36" s="87"/>
      <c r="AB36" s="87"/>
      <c r="AC36" s="87"/>
      <c r="AD36" s="87"/>
      <c r="AE36" s="87"/>
      <c r="AF36" s="87"/>
      <c r="AG36" s="87"/>
      <c r="AH36" s="172"/>
      <c r="AI36" s="88">
        <v>816925</v>
      </c>
      <c r="AJ36" s="171"/>
      <c r="AK36" s="87"/>
      <c r="AL36" s="87"/>
      <c r="AM36" s="157">
        <v>0</v>
      </c>
      <c r="AN36" s="157">
        <v>94924.800000000003</v>
      </c>
      <c r="AO36" s="157">
        <v>358150.2</v>
      </c>
      <c r="AP36" s="87">
        <v>0</v>
      </c>
      <c r="AQ36" s="87"/>
      <c r="AR36" s="87"/>
      <c r="AS36" s="87"/>
      <c r="AT36" s="87"/>
      <c r="AU36" s="88"/>
      <c r="AV36" s="171"/>
      <c r="AW36" s="87"/>
      <c r="AX36" s="88"/>
      <c r="AY36" s="164"/>
      <c r="AZ36" s="173"/>
      <c r="BA36" s="162"/>
      <c r="BB36" s="87" t="e">
        <f>AY36+AV36+AS36+AP36+#REF!+AL36+AK36+AJ36+Y36+X36+W36+V36+U36+T36+R36+Q36+P36</f>
        <v>#REF!</v>
      </c>
      <c r="BC36" s="87" t="e">
        <f t="shared" si="0"/>
        <v>#REF!</v>
      </c>
    </row>
    <row r="37" spans="2:55" s="163" customFormat="1" ht="93.4" customHeight="1" thickBot="1" x14ac:dyDescent="0.25">
      <c r="B37" s="146"/>
      <c r="C37" s="147" t="e">
        <f>J37-#REF!</f>
        <v>#REF!</v>
      </c>
      <c r="D37" s="148" t="s">
        <v>281</v>
      </c>
      <c r="E37" s="165"/>
      <c r="F37" s="166"/>
      <c r="G37" s="167"/>
      <c r="H37" s="168" t="s">
        <v>112</v>
      </c>
      <c r="I37" s="169" t="s">
        <v>282</v>
      </c>
      <c r="J37" s="170">
        <v>900000</v>
      </c>
      <c r="K37" s="164">
        <v>0</v>
      </c>
      <c r="L37" s="171">
        <v>200000</v>
      </c>
      <c r="M37" s="181">
        <v>600000</v>
      </c>
      <c r="N37" s="87">
        <v>100000</v>
      </c>
      <c r="O37" s="88"/>
      <c r="P37" s="171"/>
      <c r="Q37" s="87"/>
      <c r="R37" s="87"/>
      <c r="S37" s="87"/>
      <c r="T37" s="88"/>
      <c r="U37" s="171"/>
      <c r="V37" s="87"/>
      <c r="W37" s="87"/>
      <c r="X37" s="157">
        <f t="shared" si="1"/>
        <v>0</v>
      </c>
      <c r="Y37" s="87">
        <f t="shared" si="2"/>
        <v>0</v>
      </c>
      <c r="Z37" s="87"/>
      <c r="AA37" s="87"/>
      <c r="AB37" s="87"/>
      <c r="AC37" s="87"/>
      <c r="AD37" s="87"/>
      <c r="AE37" s="87"/>
      <c r="AF37" s="87"/>
      <c r="AG37" s="87"/>
      <c r="AH37" s="172"/>
      <c r="AI37" s="88"/>
      <c r="AJ37" s="171"/>
      <c r="AK37" s="87"/>
      <c r="AL37" s="87"/>
      <c r="AM37" s="157">
        <v>0</v>
      </c>
      <c r="AN37" s="157">
        <v>100000</v>
      </c>
      <c r="AO37" s="157">
        <v>0</v>
      </c>
      <c r="AP37" s="87">
        <v>800000</v>
      </c>
      <c r="AQ37" s="87"/>
      <c r="AR37" s="87"/>
      <c r="AS37" s="87"/>
      <c r="AT37" s="87"/>
      <c r="AU37" s="88"/>
      <c r="AV37" s="171"/>
      <c r="AW37" s="87"/>
      <c r="AX37" s="88"/>
      <c r="AY37" s="164"/>
      <c r="AZ37" s="173"/>
      <c r="BA37" s="162"/>
      <c r="BB37" s="87" t="e">
        <f>AY37+AV37+AS37+AP37+#REF!+AL37+AK37+AJ37+Y37+X37+W37+V37+U37+T37+R37+Q37+P37</f>
        <v>#REF!</v>
      </c>
      <c r="BC37" s="87" t="e">
        <f t="shared" si="0"/>
        <v>#REF!</v>
      </c>
    </row>
    <row r="38" spans="2:55" s="163" customFormat="1" ht="94.9" customHeight="1" thickBot="1" x14ac:dyDescent="0.25">
      <c r="B38" s="146"/>
      <c r="C38" s="147" t="e">
        <f>J38-#REF!</f>
        <v>#REF!</v>
      </c>
      <c r="D38" s="148" t="s">
        <v>283</v>
      </c>
      <c r="E38" s="165" t="s">
        <v>284</v>
      </c>
      <c r="F38" s="166"/>
      <c r="G38" s="167"/>
      <c r="H38" s="174" t="s">
        <v>160</v>
      </c>
      <c r="I38" s="169" t="s">
        <v>285</v>
      </c>
      <c r="J38" s="170">
        <v>1533225.6</v>
      </c>
      <c r="K38" s="164">
        <v>288499.71000000002</v>
      </c>
      <c r="L38" s="171">
        <v>327217.63</v>
      </c>
      <c r="M38" s="181">
        <v>917508.26</v>
      </c>
      <c r="N38" s="87"/>
      <c r="O38" s="88"/>
      <c r="P38" s="171"/>
      <c r="Q38" s="87"/>
      <c r="R38" s="87"/>
      <c r="S38" s="87"/>
      <c r="T38" s="88"/>
      <c r="U38" s="171"/>
      <c r="V38" s="87"/>
      <c r="W38" s="87">
        <v>94248.47</v>
      </c>
      <c r="X38" s="157">
        <f t="shared" si="1"/>
        <v>0</v>
      </c>
      <c r="Y38" s="87">
        <f t="shared" si="2"/>
        <v>0</v>
      </c>
      <c r="Z38" s="87"/>
      <c r="AA38" s="87"/>
      <c r="AB38" s="87"/>
      <c r="AC38" s="87"/>
      <c r="AD38" s="87"/>
      <c r="AE38" s="87"/>
      <c r="AF38" s="87"/>
      <c r="AG38" s="87"/>
      <c r="AH38" s="172"/>
      <c r="AI38" s="88"/>
      <c r="AJ38" s="171"/>
      <c r="AK38" s="87"/>
      <c r="AL38" s="87"/>
      <c r="AM38" s="157">
        <v>22782.37</v>
      </c>
      <c r="AN38" s="157">
        <v>327217.63</v>
      </c>
      <c r="AO38" s="157">
        <v>582277.44999999995</v>
      </c>
      <c r="AP38" s="87">
        <v>506699.75</v>
      </c>
      <c r="AQ38" s="87"/>
      <c r="AR38" s="87"/>
      <c r="AS38" s="87"/>
      <c r="AT38" s="87"/>
      <c r="AU38" s="88"/>
      <c r="AV38" s="171"/>
      <c r="AW38" s="87"/>
      <c r="AX38" s="88"/>
      <c r="AY38" s="164"/>
      <c r="AZ38" s="173"/>
      <c r="BA38" s="162"/>
      <c r="BB38" s="87" t="e">
        <f>AY38+AV38+AS38+AP38+#REF!+AL38+AK38+AJ38+Y38+X38+W38+V38+U38+T38+R38+Q38+P38</f>
        <v>#REF!</v>
      </c>
      <c r="BC38" s="87" t="e">
        <f t="shared" si="0"/>
        <v>#REF!</v>
      </c>
    </row>
    <row r="39" spans="2:55" s="163" customFormat="1" ht="158.25" customHeight="1" thickBot="1" x14ac:dyDescent="0.25">
      <c r="B39" s="146"/>
      <c r="C39" s="147" t="e">
        <f>J39-#REF!</f>
        <v>#REF!</v>
      </c>
      <c r="D39" s="148" t="s">
        <v>286</v>
      </c>
      <c r="E39" s="165" t="s">
        <v>287</v>
      </c>
      <c r="F39" s="166"/>
      <c r="G39" s="167"/>
      <c r="H39" s="168" t="s">
        <v>112</v>
      </c>
      <c r="I39" s="169" t="s">
        <v>288</v>
      </c>
      <c r="J39" s="170">
        <v>9250621.2400000002</v>
      </c>
      <c r="K39" s="164">
        <v>1255526.76</v>
      </c>
      <c r="L39" s="171">
        <v>245094.48</v>
      </c>
      <c r="M39" s="87">
        <v>2000000</v>
      </c>
      <c r="N39" s="87">
        <v>5750000</v>
      </c>
      <c r="O39" s="88"/>
      <c r="P39" s="171"/>
      <c r="Q39" s="87"/>
      <c r="R39" s="87">
        <v>6088097.3099999996</v>
      </c>
      <c r="S39" s="87"/>
      <c r="T39" s="88"/>
      <c r="U39" s="171"/>
      <c r="V39" s="87"/>
      <c r="W39" s="87">
        <v>501012.5</v>
      </c>
      <c r="X39" s="157">
        <f t="shared" si="1"/>
        <v>0</v>
      </c>
      <c r="Y39" s="87">
        <f t="shared" si="2"/>
        <v>0</v>
      </c>
      <c r="Z39" s="87"/>
      <c r="AA39" s="87"/>
      <c r="AB39" s="87"/>
      <c r="AC39" s="87"/>
      <c r="AD39" s="87"/>
      <c r="AE39" s="87"/>
      <c r="AF39" s="87"/>
      <c r="AG39" s="87"/>
      <c r="AH39" s="172"/>
      <c r="AI39" s="88"/>
      <c r="AJ39" s="171"/>
      <c r="AK39" s="87"/>
      <c r="AL39" s="87"/>
      <c r="AM39" s="157">
        <v>0</v>
      </c>
      <c r="AN39" s="157">
        <v>0</v>
      </c>
      <c r="AO39" s="157">
        <v>750000</v>
      </c>
      <c r="AP39" s="87">
        <v>1260775.8400000001</v>
      </c>
      <c r="AQ39" s="87"/>
      <c r="AR39" s="87"/>
      <c r="AS39" s="87"/>
      <c r="AT39" s="87"/>
      <c r="AU39" s="88"/>
      <c r="AV39" s="171">
        <v>650735.59</v>
      </c>
      <c r="AW39" s="87"/>
      <c r="AX39" s="88"/>
      <c r="AY39" s="164"/>
      <c r="AZ39" s="173"/>
      <c r="BA39" s="162"/>
      <c r="BB39" s="87" t="e">
        <f>AY39+AV39+AS39+AP39+#REF!+AL39+AK39+AJ39+Y39+X39+W39+V39+U39+T39+R39+Q39+P39</f>
        <v>#REF!</v>
      </c>
      <c r="BC39" s="87" t="e">
        <f t="shared" si="0"/>
        <v>#REF!</v>
      </c>
    </row>
    <row r="40" spans="2:55" s="163" customFormat="1" ht="88.35" customHeight="1" thickBot="1" x14ac:dyDescent="0.25">
      <c r="B40" s="146"/>
      <c r="C40" s="147" t="e">
        <f>J40-#REF!</f>
        <v>#REF!</v>
      </c>
      <c r="D40" s="148" t="s">
        <v>289</v>
      </c>
      <c r="E40" s="165" t="s">
        <v>290</v>
      </c>
      <c r="F40" s="166"/>
      <c r="G40" s="167"/>
      <c r="H40" s="168" t="s">
        <v>112</v>
      </c>
      <c r="I40" s="169" t="s">
        <v>291</v>
      </c>
      <c r="J40" s="170">
        <v>1400000</v>
      </c>
      <c r="K40" s="164">
        <v>743684.43</v>
      </c>
      <c r="L40" s="171">
        <v>656315.56999999995</v>
      </c>
      <c r="M40" s="87"/>
      <c r="N40" s="87"/>
      <c r="O40" s="88"/>
      <c r="P40" s="171"/>
      <c r="Q40" s="87"/>
      <c r="R40" s="87"/>
      <c r="S40" s="87"/>
      <c r="T40" s="88"/>
      <c r="U40" s="171"/>
      <c r="V40" s="87"/>
      <c r="W40" s="87"/>
      <c r="X40" s="157">
        <f t="shared" si="1"/>
        <v>60226.39</v>
      </c>
      <c r="Y40" s="87">
        <f t="shared" si="2"/>
        <v>0</v>
      </c>
      <c r="Z40" s="87"/>
      <c r="AA40" s="87"/>
      <c r="AB40" s="87">
        <v>60226.39</v>
      </c>
      <c r="AC40" s="87"/>
      <c r="AD40" s="87"/>
      <c r="AE40" s="87"/>
      <c r="AF40" s="87"/>
      <c r="AG40" s="87"/>
      <c r="AH40" s="172"/>
      <c r="AI40" s="88"/>
      <c r="AJ40" s="171"/>
      <c r="AK40" s="87"/>
      <c r="AL40" s="87"/>
      <c r="AM40" s="157">
        <v>683458.04</v>
      </c>
      <c r="AN40" s="157">
        <v>656315.56999999995</v>
      </c>
      <c r="AO40" s="157">
        <v>0</v>
      </c>
      <c r="AP40" s="87">
        <v>0</v>
      </c>
      <c r="AQ40" s="87"/>
      <c r="AR40" s="87"/>
      <c r="AS40" s="87"/>
      <c r="AT40" s="87"/>
      <c r="AU40" s="88"/>
      <c r="AV40" s="171"/>
      <c r="AW40" s="87"/>
      <c r="AX40" s="88"/>
      <c r="AY40" s="164"/>
      <c r="AZ40" s="173"/>
      <c r="BA40" s="162"/>
      <c r="BB40" s="87" t="e">
        <f>AY40+AV40+AS40+AP40+#REF!+AL40+AK40+AJ40+Y40+X40+W40+V40+U40+T40+R40+Q40+P40</f>
        <v>#REF!</v>
      </c>
      <c r="BC40" s="87" t="e">
        <f t="shared" si="0"/>
        <v>#REF!</v>
      </c>
    </row>
    <row r="41" spans="2:55" s="163" customFormat="1" ht="49.9" customHeight="1" thickBot="1" x14ac:dyDescent="0.25">
      <c r="B41" s="146"/>
      <c r="C41" s="147" t="e">
        <f>J41-#REF!</f>
        <v>#REF!</v>
      </c>
      <c r="D41" s="148" t="s">
        <v>292</v>
      </c>
      <c r="E41" s="165" t="s">
        <v>293</v>
      </c>
      <c r="F41" s="166"/>
      <c r="G41" s="167"/>
      <c r="H41" s="168" t="s">
        <v>112</v>
      </c>
      <c r="I41" s="169" t="s">
        <v>294</v>
      </c>
      <c r="J41" s="170">
        <f>15460381.98+66511.59</f>
        <v>15526893.57</v>
      </c>
      <c r="K41" s="164">
        <f>15213303.87+66511.59</f>
        <v>15279815.459999999</v>
      </c>
      <c r="L41" s="171">
        <v>247078.11000000127</v>
      </c>
      <c r="M41" s="87"/>
      <c r="N41" s="87"/>
      <c r="O41" s="88"/>
      <c r="P41" s="171"/>
      <c r="Q41" s="87"/>
      <c r="R41" s="87">
        <v>6802524.8600000003</v>
      </c>
      <c r="S41" s="87"/>
      <c r="T41" s="88"/>
      <c r="U41" s="171"/>
      <c r="V41" s="87"/>
      <c r="W41" s="87"/>
      <c r="X41" s="157">
        <f t="shared" si="1"/>
        <v>0</v>
      </c>
      <c r="Y41" s="87">
        <f t="shared" si="2"/>
        <v>0</v>
      </c>
      <c r="Z41" s="87"/>
      <c r="AA41" s="87"/>
      <c r="AB41" s="87"/>
      <c r="AC41" s="87"/>
      <c r="AD41" s="87"/>
      <c r="AE41" s="87"/>
      <c r="AF41" s="87"/>
      <c r="AG41" s="87"/>
      <c r="AH41" s="172"/>
      <c r="AI41" s="88"/>
      <c r="AJ41" s="171"/>
      <c r="AK41" s="87"/>
      <c r="AL41" s="87">
        <v>7178857.1200000001</v>
      </c>
      <c r="AM41" s="157">
        <v>1540000</v>
      </c>
      <c r="AN41" s="157">
        <v>0</v>
      </c>
      <c r="AO41" s="157">
        <v>0</v>
      </c>
      <c r="AP41" s="87">
        <v>5511.59</v>
      </c>
      <c r="AQ41" s="87"/>
      <c r="AR41" s="87"/>
      <c r="AS41" s="87"/>
      <c r="AT41" s="87"/>
      <c r="AU41" s="88"/>
      <c r="AV41" s="171"/>
      <c r="AW41" s="87"/>
      <c r="AX41" s="88"/>
      <c r="AY41" s="164">
        <f>1540000-1540000</f>
        <v>0</v>
      </c>
      <c r="AZ41" s="173"/>
      <c r="BA41" s="162"/>
      <c r="BB41" s="87" t="e">
        <f>AY41+AV41+AS41+AP41+#REF!+AL41+AK41+AJ41+Y41+X41+W41+V41+U41+T41+R41+Q41+P41</f>
        <v>#REF!</v>
      </c>
      <c r="BC41" s="87" t="e">
        <f t="shared" si="0"/>
        <v>#REF!</v>
      </c>
    </row>
    <row r="42" spans="2:55" s="163" customFormat="1" ht="66.599999999999994" customHeight="1" thickBot="1" x14ac:dyDescent="0.25">
      <c r="B42" s="146"/>
      <c r="C42" s="147" t="e">
        <f>J42-#REF!</f>
        <v>#REF!</v>
      </c>
      <c r="D42" s="148" t="s">
        <v>295</v>
      </c>
      <c r="E42" s="165" t="s">
        <v>296</v>
      </c>
      <c r="F42" s="166"/>
      <c r="G42" s="167"/>
      <c r="H42" s="168" t="s">
        <v>112</v>
      </c>
      <c r="I42" s="169" t="s">
        <v>297</v>
      </c>
      <c r="J42" s="170">
        <v>24218706.969999999</v>
      </c>
      <c r="K42" s="164">
        <v>22272355.34</v>
      </c>
      <c r="L42" s="171">
        <f>946351.63-700000+300000</f>
        <v>546351.63</v>
      </c>
      <c r="M42" s="87">
        <f>1000000+700000-300000</f>
        <v>1400000</v>
      </c>
      <c r="N42" s="87"/>
      <c r="O42" s="88"/>
      <c r="P42" s="171"/>
      <c r="Q42" s="87"/>
      <c r="R42" s="87">
        <v>6713939.6900000004</v>
      </c>
      <c r="S42" s="87"/>
      <c r="T42" s="88"/>
      <c r="U42" s="171"/>
      <c r="V42" s="87"/>
      <c r="W42" s="87">
        <v>1715560.25</v>
      </c>
      <c r="X42" s="157">
        <f t="shared" si="1"/>
        <v>5845823.8399999999</v>
      </c>
      <c r="Y42" s="87">
        <f t="shared" si="2"/>
        <v>0</v>
      </c>
      <c r="Z42" s="87"/>
      <c r="AA42" s="87"/>
      <c r="AB42" s="87">
        <v>5845823.8399999999</v>
      </c>
      <c r="AC42" s="87"/>
      <c r="AD42" s="87"/>
      <c r="AE42" s="87"/>
      <c r="AF42" s="87"/>
      <c r="AG42" s="87"/>
      <c r="AH42" s="172"/>
      <c r="AI42" s="88"/>
      <c r="AJ42" s="171"/>
      <c r="AK42" s="87"/>
      <c r="AL42" s="87">
        <v>1351303.07</v>
      </c>
      <c r="AM42" s="157">
        <v>992105.91</v>
      </c>
      <c r="AN42" s="157">
        <v>546351.63</v>
      </c>
      <c r="AO42" s="157">
        <v>897775.33000000007</v>
      </c>
      <c r="AP42" s="87">
        <v>1249506.71</v>
      </c>
      <c r="AQ42" s="87"/>
      <c r="AR42" s="87"/>
      <c r="AS42" s="87"/>
      <c r="AT42" s="87"/>
      <c r="AU42" s="88"/>
      <c r="AV42" s="171">
        <v>4906340.54</v>
      </c>
      <c r="AW42" s="87"/>
      <c r="AX42" s="88"/>
      <c r="AY42" s="164"/>
      <c r="AZ42" s="173"/>
      <c r="BA42" s="162"/>
      <c r="BB42" s="87" t="e">
        <f>AY42+AV42+AS42+AP42+#REF!+AL42+AK42+AJ42+Y42+X42+W42+V42+U42+T42+R42+Q42+P42</f>
        <v>#REF!</v>
      </c>
      <c r="BC42" s="87" t="e">
        <f t="shared" si="0"/>
        <v>#REF!</v>
      </c>
    </row>
    <row r="43" spans="2:55" s="163" customFormat="1" ht="47.25" thickBot="1" x14ac:dyDescent="0.25">
      <c r="B43" s="146"/>
      <c r="C43" s="147" t="e">
        <f>J43-#REF!</f>
        <v>#REF!</v>
      </c>
      <c r="D43" s="148" t="s">
        <v>298</v>
      </c>
      <c r="E43" s="165" t="s">
        <v>299</v>
      </c>
      <c r="F43" s="166"/>
      <c r="G43" s="167"/>
      <c r="H43" s="168" t="s">
        <v>112</v>
      </c>
      <c r="I43" s="169" t="s">
        <v>300</v>
      </c>
      <c r="J43" s="170">
        <f>2629467.84+278350.83</f>
        <v>2907818.67</v>
      </c>
      <c r="K43" s="164">
        <v>301169.86</v>
      </c>
      <c r="L43" s="171">
        <v>278350.83</v>
      </c>
      <c r="M43" s="87">
        <v>209170.32</v>
      </c>
      <c r="N43" s="87"/>
      <c r="O43" s="88">
        <v>2119127.66</v>
      </c>
      <c r="P43" s="171"/>
      <c r="Q43" s="87"/>
      <c r="R43" s="87"/>
      <c r="S43" s="87"/>
      <c r="T43" s="88"/>
      <c r="U43" s="171"/>
      <c r="V43" s="87"/>
      <c r="W43" s="87">
        <v>110297.52</v>
      </c>
      <c r="X43" s="157">
        <f t="shared" si="1"/>
        <v>0</v>
      </c>
      <c r="Y43" s="87">
        <f t="shared" si="2"/>
        <v>278350.83</v>
      </c>
      <c r="Z43" s="87"/>
      <c r="AA43" s="87"/>
      <c r="AB43" s="87"/>
      <c r="AC43" s="87"/>
      <c r="AD43" s="87"/>
      <c r="AE43" s="87"/>
      <c r="AF43" s="87"/>
      <c r="AG43" s="87">
        <v>278350.83</v>
      </c>
      <c r="AH43" s="172"/>
      <c r="AI43" s="88"/>
      <c r="AJ43" s="171">
        <v>130872.34</v>
      </c>
      <c r="AK43" s="87"/>
      <c r="AL43" s="87"/>
      <c r="AM43" s="157">
        <v>60000</v>
      </c>
      <c r="AN43" s="157">
        <v>0</v>
      </c>
      <c r="AO43" s="157">
        <v>209170.32</v>
      </c>
      <c r="AP43" s="87">
        <v>0</v>
      </c>
      <c r="AQ43" s="87"/>
      <c r="AR43" s="87"/>
      <c r="AS43" s="87"/>
      <c r="AT43" s="87"/>
      <c r="AU43" s="88"/>
      <c r="AV43" s="171"/>
      <c r="AW43" s="87"/>
      <c r="AX43" s="88"/>
      <c r="AY43" s="164">
        <v>2119127.66</v>
      </c>
      <c r="AZ43" s="173"/>
      <c r="BA43" s="182" t="s">
        <v>301</v>
      </c>
      <c r="BB43" s="87" t="e">
        <f>AY43+AV43+AS43+AP43+#REF!+AL43+AK43+AJ43+Y43+X43+W43+V43+U43+T43+R43+Q43+P43</f>
        <v>#REF!</v>
      </c>
      <c r="BC43" s="87" t="e">
        <f t="shared" si="0"/>
        <v>#REF!</v>
      </c>
    </row>
    <row r="44" spans="2:55" s="163" customFormat="1" ht="56.25" customHeight="1" thickBot="1" x14ac:dyDescent="0.25">
      <c r="B44" s="146"/>
      <c r="C44" s="147" t="e">
        <f>J44-#REF!</f>
        <v>#REF!</v>
      </c>
      <c r="D44" s="148" t="s">
        <v>302</v>
      </c>
      <c r="E44" s="165" t="s">
        <v>303</v>
      </c>
      <c r="F44" s="166"/>
      <c r="G44" s="167"/>
      <c r="H44" s="168" t="s">
        <v>112</v>
      </c>
      <c r="I44" s="169" t="s">
        <v>171</v>
      </c>
      <c r="J44" s="170">
        <f>6982673.54+200000+37291.07+3309.59-64823.41</f>
        <v>7158450.79</v>
      </c>
      <c r="K44" s="164">
        <v>2833299.86</v>
      </c>
      <c r="L44" s="171">
        <f>1875279.07-1200000+1200000</f>
        <v>1875279.07</v>
      </c>
      <c r="M44" s="87">
        <f>1750000+1200000-1200000</f>
        <v>1750000</v>
      </c>
      <c r="N44" s="87">
        <f>699871.859999999</f>
        <v>699871.85999999905</v>
      </c>
      <c r="O44" s="88"/>
      <c r="P44" s="171"/>
      <c r="Q44" s="87"/>
      <c r="R44" s="87"/>
      <c r="S44" s="87"/>
      <c r="T44" s="88"/>
      <c r="U44" s="171"/>
      <c r="V44" s="87"/>
      <c r="W44" s="87">
        <v>853425.52</v>
      </c>
      <c r="X44" s="157">
        <f t="shared" si="1"/>
        <v>1440581.51</v>
      </c>
      <c r="Y44" s="87">
        <f t="shared" si="2"/>
        <v>0</v>
      </c>
      <c r="Z44" s="87"/>
      <c r="AA44" s="87"/>
      <c r="AB44" s="87">
        <v>504159.6</v>
      </c>
      <c r="AC44" s="87"/>
      <c r="AD44" s="87"/>
      <c r="AE44" s="87"/>
      <c r="AF44" s="87">
        <v>936421.91</v>
      </c>
      <c r="AG44" s="87">
        <f>138461.83-138461.83</f>
        <v>0</v>
      </c>
      <c r="AH44" s="172"/>
      <c r="AI44" s="88"/>
      <c r="AJ44" s="171"/>
      <c r="AK44" s="87"/>
      <c r="AL44" s="87"/>
      <c r="AM44" s="157">
        <v>542091.36</v>
      </c>
      <c r="AN44" s="157">
        <v>1792652.58</v>
      </c>
      <c r="AO44" s="157">
        <v>1942408.7499999995</v>
      </c>
      <c r="AP44" s="87">
        <v>500000</v>
      </c>
      <c r="AQ44" s="87"/>
      <c r="AR44" s="87"/>
      <c r="AS44" s="87"/>
      <c r="AT44" s="87"/>
      <c r="AU44" s="88"/>
      <c r="AV44" s="171">
        <f>AW44+AX44</f>
        <v>87291.07</v>
      </c>
      <c r="AW44" s="87">
        <v>87291.07</v>
      </c>
      <c r="AX44" s="88"/>
      <c r="AY44" s="164"/>
      <c r="AZ44" s="173"/>
      <c r="BA44" s="162"/>
      <c r="BB44" s="87" t="e">
        <f>AY44+AV44+AS44+AP44+#REF!+AL44+AK44+AJ44+Y44+X44+W44+V44+U44+T44+R44+Q44+P44</f>
        <v>#REF!</v>
      </c>
      <c r="BC44" s="87" t="e">
        <f t="shared" si="0"/>
        <v>#REF!</v>
      </c>
    </row>
    <row r="45" spans="2:55" s="163" customFormat="1" ht="70.5" thickBot="1" x14ac:dyDescent="0.25">
      <c r="B45" s="146"/>
      <c r="C45" s="147" t="e">
        <f>J45-#REF!</f>
        <v>#REF!</v>
      </c>
      <c r="D45" s="148" t="s">
        <v>304</v>
      </c>
      <c r="E45" s="165" t="s">
        <v>305</v>
      </c>
      <c r="F45" s="166"/>
      <c r="G45" s="167"/>
      <c r="H45" s="168" t="s">
        <v>112</v>
      </c>
      <c r="I45" s="169" t="s">
        <v>306</v>
      </c>
      <c r="J45" s="170">
        <v>7687885.1100000003</v>
      </c>
      <c r="K45" s="164">
        <v>1126995.6499999999</v>
      </c>
      <c r="L45" s="171">
        <v>300000</v>
      </c>
      <c r="M45" s="87">
        <v>1503246.61</v>
      </c>
      <c r="N45" s="87">
        <v>4757642.8499999996</v>
      </c>
      <c r="O45" s="88">
        <v>0</v>
      </c>
      <c r="P45" s="171"/>
      <c r="Q45" s="87"/>
      <c r="R45" s="87">
        <v>3877759.82</v>
      </c>
      <c r="S45" s="87"/>
      <c r="T45" s="88"/>
      <c r="U45" s="171"/>
      <c r="V45" s="87"/>
      <c r="W45" s="87"/>
      <c r="X45" s="157">
        <f t="shared" si="1"/>
        <v>0</v>
      </c>
      <c r="Y45" s="87">
        <f t="shared" si="2"/>
        <v>0</v>
      </c>
      <c r="Z45" s="87"/>
      <c r="AA45" s="87"/>
      <c r="AB45" s="87"/>
      <c r="AC45" s="87"/>
      <c r="AD45" s="87"/>
      <c r="AE45" s="87"/>
      <c r="AF45" s="87"/>
      <c r="AG45" s="87"/>
      <c r="AH45" s="172"/>
      <c r="AI45" s="88"/>
      <c r="AJ45" s="171"/>
      <c r="AK45" s="87"/>
      <c r="AL45" s="87"/>
      <c r="AM45" s="157">
        <v>0</v>
      </c>
      <c r="AN45" s="157">
        <v>0</v>
      </c>
      <c r="AO45" s="157">
        <v>2287785.5499999998</v>
      </c>
      <c r="AP45" s="87">
        <v>1522339.74</v>
      </c>
      <c r="AQ45" s="87"/>
      <c r="AR45" s="87"/>
      <c r="AS45" s="87"/>
      <c r="AT45" s="87"/>
      <c r="AU45" s="88"/>
      <c r="AV45" s="171"/>
      <c r="AW45" s="87"/>
      <c r="AX45" s="88"/>
      <c r="AY45" s="164"/>
      <c r="AZ45" s="173"/>
      <c r="BA45" s="162"/>
      <c r="BB45" s="87" t="e">
        <f>AY45+AV45+AS45+AP45+#REF!+AL45+AK45+AJ45+Y45+X45+W45+V45+U45+T45+R45+Q45+P45</f>
        <v>#REF!</v>
      </c>
      <c r="BC45" s="87" t="e">
        <f t="shared" si="0"/>
        <v>#REF!</v>
      </c>
    </row>
    <row r="46" spans="2:55" s="163" customFormat="1" ht="136.5" customHeight="1" thickBot="1" x14ac:dyDescent="0.25">
      <c r="B46" s="146"/>
      <c r="C46" s="147"/>
      <c r="D46" s="148" t="s">
        <v>307</v>
      </c>
      <c r="E46" s="165"/>
      <c r="F46" s="166"/>
      <c r="G46" s="167"/>
      <c r="H46" s="168"/>
      <c r="I46" s="169" t="s">
        <v>308</v>
      </c>
      <c r="J46" s="170">
        <f>400000+150000</f>
        <v>550000</v>
      </c>
      <c r="K46" s="164"/>
      <c r="L46" s="171">
        <v>550000</v>
      </c>
      <c r="M46" s="87"/>
      <c r="N46" s="87"/>
      <c r="O46" s="88"/>
      <c r="P46" s="171"/>
      <c r="Q46" s="87"/>
      <c r="R46" s="87"/>
      <c r="S46" s="87"/>
      <c r="T46" s="88"/>
      <c r="U46" s="171"/>
      <c r="V46" s="87"/>
      <c r="W46" s="87"/>
      <c r="X46" s="157">
        <f t="shared" si="1"/>
        <v>0</v>
      </c>
      <c r="Y46" s="87">
        <f t="shared" si="2"/>
        <v>0</v>
      </c>
      <c r="Z46" s="87"/>
      <c r="AA46" s="87"/>
      <c r="AB46" s="87"/>
      <c r="AC46" s="87"/>
      <c r="AD46" s="87"/>
      <c r="AE46" s="87"/>
      <c r="AF46" s="87"/>
      <c r="AG46" s="87"/>
      <c r="AH46" s="172"/>
      <c r="AI46" s="88"/>
      <c r="AJ46" s="171"/>
      <c r="AK46" s="87"/>
      <c r="AL46" s="87"/>
      <c r="AM46" s="157">
        <v>0</v>
      </c>
      <c r="AN46" s="157">
        <v>550000</v>
      </c>
      <c r="AO46" s="157">
        <v>0</v>
      </c>
      <c r="AP46" s="87"/>
      <c r="AQ46" s="87"/>
      <c r="AR46" s="87"/>
      <c r="AS46" s="87"/>
      <c r="AT46" s="87"/>
      <c r="AU46" s="88"/>
      <c r="AV46" s="171"/>
      <c r="AW46" s="87"/>
      <c r="AX46" s="88"/>
      <c r="AY46" s="164"/>
      <c r="AZ46" s="173"/>
      <c r="BA46" s="162"/>
      <c r="BB46" s="87" t="e">
        <f>AY46+AV46+AS46+AP46+#REF!+AL46+AK46+AJ46+Y46+X46+W46+V46+U46+T46+R46+Q46+P46</f>
        <v>#REF!</v>
      </c>
      <c r="BC46" s="87" t="e">
        <f t="shared" si="0"/>
        <v>#REF!</v>
      </c>
    </row>
    <row r="47" spans="2:55" s="163" customFormat="1" ht="70.5" thickBot="1" x14ac:dyDescent="0.25">
      <c r="B47" s="146"/>
      <c r="C47" s="147" t="e">
        <f>J47-#REF!</f>
        <v>#REF!</v>
      </c>
      <c r="D47" s="148" t="s">
        <v>309</v>
      </c>
      <c r="E47" s="165" t="s">
        <v>310</v>
      </c>
      <c r="F47" s="166"/>
      <c r="G47" s="167"/>
      <c r="H47" s="168" t="s">
        <v>112</v>
      </c>
      <c r="I47" s="169" t="s">
        <v>311</v>
      </c>
      <c r="J47" s="170">
        <f>9694572.42+1188000</f>
        <v>10882572.42</v>
      </c>
      <c r="K47" s="164">
        <v>498823.48</v>
      </c>
      <c r="L47" s="171">
        <f>1862442.73-400000</f>
        <v>1462442.73</v>
      </c>
      <c r="M47" s="87">
        <f>3968548.37+400000</f>
        <v>4368548.37</v>
      </c>
      <c r="N47" s="87">
        <v>602757.84</v>
      </c>
      <c r="O47" s="88">
        <v>3950000</v>
      </c>
      <c r="P47" s="171"/>
      <c r="Q47" s="87"/>
      <c r="R47" s="87"/>
      <c r="S47" s="87"/>
      <c r="T47" s="88"/>
      <c r="U47" s="171"/>
      <c r="V47" s="87"/>
      <c r="W47" s="87"/>
      <c r="X47" s="157">
        <f t="shared" si="1"/>
        <v>50000</v>
      </c>
      <c r="Y47" s="87">
        <f t="shared" si="2"/>
        <v>585984.53</v>
      </c>
      <c r="Z47" s="87"/>
      <c r="AA47" s="87"/>
      <c r="AB47" s="87"/>
      <c r="AC47" s="87"/>
      <c r="AD47" s="87"/>
      <c r="AE47" s="87"/>
      <c r="AF47" s="87">
        <v>50000</v>
      </c>
      <c r="AG47" s="87">
        <v>585984.53</v>
      </c>
      <c r="AH47" s="172"/>
      <c r="AI47" s="88">
        <f>475000-475000</f>
        <v>0</v>
      </c>
      <c r="AJ47" s="171"/>
      <c r="AK47" s="87"/>
      <c r="AL47" s="87"/>
      <c r="AM47" s="157">
        <v>434008.9</v>
      </c>
      <c r="AN47" s="157">
        <v>1362442.73</v>
      </c>
      <c r="AO47" s="157">
        <v>2797378.42</v>
      </c>
      <c r="AP47" s="87">
        <v>1702757.84</v>
      </c>
      <c r="AQ47" s="87"/>
      <c r="AR47" s="87"/>
      <c r="AS47" s="87"/>
      <c r="AT47" s="87"/>
      <c r="AU47" s="88"/>
      <c r="AV47" s="171"/>
      <c r="AW47" s="87"/>
      <c r="AX47" s="88"/>
      <c r="AY47" s="164">
        <v>3950000</v>
      </c>
      <c r="AZ47" s="173"/>
      <c r="BA47" s="162"/>
      <c r="BB47" s="87" t="e">
        <f>AY47+AV47+AS47+AP47+#REF!+AL47+AK47+AJ47+Y47+X47+W47+V47+U47+T47+R47+Q47+P47</f>
        <v>#REF!</v>
      </c>
      <c r="BC47" s="87" t="e">
        <f t="shared" si="0"/>
        <v>#REF!</v>
      </c>
    </row>
    <row r="48" spans="2:55" s="163" customFormat="1" ht="117" thickBot="1" x14ac:dyDescent="0.25">
      <c r="B48" s="146"/>
      <c r="C48" s="147" t="e">
        <f>J48-#REF!</f>
        <v>#REF!</v>
      </c>
      <c r="D48" s="148" t="s">
        <v>312</v>
      </c>
      <c r="E48" s="165">
        <v>1785</v>
      </c>
      <c r="F48" s="166"/>
      <c r="G48" s="167"/>
      <c r="H48" s="168" t="s">
        <v>112</v>
      </c>
      <c r="I48" s="169" t="s">
        <v>313</v>
      </c>
      <c r="J48" s="170">
        <v>4924074.12</v>
      </c>
      <c r="K48" s="164">
        <v>69751.12</v>
      </c>
      <c r="L48" s="171"/>
      <c r="M48" s="87"/>
      <c r="N48" s="87"/>
      <c r="O48" s="88">
        <v>4854323</v>
      </c>
      <c r="P48" s="171"/>
      <c r="Q48" s="87"/>
      <c r="R48" s="87"/>
      <c r="S48" s="87"/>
      <c r="T48" s="88"/>
      <c r="U48" s="171"/>
      <c r="V48" s="87"/>
      <c r="W48" s="87"/>
      <c r="X48" s="157">
        <f t="shared" si="1"/>
        <v>0</v>
      </c>
      <c r="Y48" s="87">
        <f t="shared" si="2"/>
        <v>2827461.88</v>
      </c>
      <c r="Z48" s="87"/>
      <c r="AA48" s="87"/>
      <c r="AB48" s="87"/>
      <c r="AC48" s="87"/>
      <c r="AD48" s="87"/>
      <c r="AE48" s="87"/>
      <c r="AF48" s="87"/>
      <c r="AG48" s="87"/>
      <c r="AH48" s="172"/>
      <c r="AI48" s="88">
        <v>2827461.88</v>
      </c>
      <c r="AJ48" s="171"/>
      <c r="AK48" s="87"/>
      <c r="AL48" s="87"/>
      <c r="AM48" s="157">
        <v>0</v>
      </c>
      <c r="AN48" s="157">
        <v>0</v>
      </c>
      <c r="AO48" s="157">
        <v>0</v>
      </c>
      <c r="AP48" s="87">
        <v>69751.12</v>
      </c>
      <c r="AQ48" s="87"/>
      <c r="AR48" s="87"/>
      <c r="AS48" s="87"/>
      <c r="AT48" s="87"/>
      <c r="AU48" s="88"/>
      <c r="AV48" s="171"/>
      <c r="AW48" s="87"/>
      <c r="AX48" s="88"/>
      <c r="AY48" s="164">
        <v>2026861.12</v>
      </c>
      <c r="AZ48" s="173"/>
      <c r="BA48" s="162"/>
      <c r="BB48" s="87" t="e">
        <f>AY48+AV48+AS48+AP48+#REF!+AL48+AK48+AJ48+Y48+X48+W48+V48+U48+T48+R48+Q48+P48</f>
        <v>#REF!</v>
      </c>
      <c r="BC48" s="87" t="e">
        <f t="shared" si="0"/>
        <v>#REF!</v>
      </c>
    </row>
    <row r="49" spans="2:55" s="163" customFormat="1" ht="47.25" thickBot="1" x14ac:dyDescent="0.25">
      <c r="B49" s="146"/>
      <c r="C49" s="147" t="e">
        <f>J49-#REF!</f>
        <v>#REF!</v>
      </c>
      <c r="D49" s="148" t="s">
        <v>314</v>
      </c>
      <c r="E49" s="165" t="s">
        <v>315</v>
      </c>
      <c r="F49" s="166"/>
      <c r="G49" s="167"/>
      <c r="H49" s="168" t="s">
        <v>112</v>
      </c>
      <c r="I49" s="169" t="s">
        <v>316</v>
      </c>
      <c r="J49" s="170">
        <f>9229609.9+2835000+8950000-3400000+4100000-4600000+3900000</f>
        <v>21014609.899999999</v>
      </c>
      <c r="K49" s="164">
        <v>274363.93</v>
      </c>
      <c r="L49" s="171">
        <f>4740245.97-1700000+2050000-817898.92+700000-500000</f>
        <v>4472347.05</v>
      </c>
      <c r="M49" s="87">
        <f>7700000-1700000+2050000+817898.92-700000+500000</f>
        <v>8667898.9199999999</v>
      </c>
      <c r="N49" s="87">
        <v>2225000</v>
      </c>
      <c r="O49" s="88">
        <f>6075000-4600000+3900000</f>
        <v>5375000</v>
      </c>
      <c r="P49" s="171"/>
      <c r="Q49" s="87"/>
      <c r="R49" s="87">
        <v>2737221.57</v>
      </c>
      <c r="S49" s="87"/>
      <c r="T49" s="88"/>
      <c r="U49" s="171"/>
      <c r="V49" s="87"/>
      <c r="W49" s="87">
        <v>162606.94</v>
      </c>
      <c r="X49" s="157">
        <f t="shared" si="1"/>
        <v>0</v>
      </c>
      <c r="Y49" s="87">
        <f>AC49+AD49+AE49+AG49+AH49+AI49+Z49</f>
        <v>2841000</v>
      </c>
      <c r="Z49" s="87">
        <v>2716000</v>
      </c>
      <c r="AA49" s="87"/>
      <c r="AB49" s="87"/>
      <c r="AC49" s="87"/>
      <c r="AD49" s="87"/>
      <c r="AE49" s="87"/>
      <c r="AF49" s="87"/>
      <c r="AG49" s="87">
        <v>125000</v>
      </c>
      <c r="AH49" s="172"/>
      <c r="AI49" s="88"/>
      <c r="AJ49" s="171"/>
      <c r="AK49" s="87"/>
      <c r="AL49" s="87"/>
      <c r="AM49" s="157">
        <v>14643.470000000001</v>
      </c>
      <c r="AN49" s="157">
        <v>4824347.05</v>
      </c>
      <c r="AO49" s="157">
        <v>4940488.93</v>
      </c>
      <c r="AP49" s="87">
        <v>119301.96</v>
      </c>
      <c r="AQ49" s="87"/>
      <c r="AR49" s="87"/>
      <c r="AS49" s="87"/>
      <c r="AT49" s="87"/>
      <c r="AU49" s="88"/>
      <c r="AV49" s="171"/>
      <c r="AW49" s="87"/>
      <c r="AX49" s="88"/>
      <c r="AY49" s="164">
        <f>6075000-4600000+3900000</f>
        <v>5375000</v>
      </c>
      <c r="AZ49" s="173"/>
      <c r="BA49" s="162"/>
      <c r="BB49" s="87" t="e">
        <f>AY49+AV49+AS49+AP49+#REF!+AL49+AK49+AJ49+Y49+X49+W49+V49+U49+T49+R49+Q49+P49</f>
        <v>#REF!</v>
      </c>
      <c r="BC49" s="87" t="e">
        <f t="shared" si="0"/>
        <v>#REF!</v>
      </c>
    </row>
    <row r="50" spans="2:55" s="163" customFormat="1" ht="47.25" thickBot="1" x14ac:dyDescent="0.25">
      <c r="B50" s="146"/>
      <c r="C50" s="147" t="e">
        <f>J50-#REF!</f>
        <v>#REF!</v>
      </c>
      <c r="D50" s="148" t="s">
        <v>317</v>
      </c>
      <c r="E50" s="165" t="s">
        <v>318</v>
      </c>
      <c r="F50" s="166"/>
      <c r="G50" s="167"/>
      <c r="H50" s="168" t="s">
        <v>112</v>
      </c>
      <c r="I50" s="169" t="s">
        <v>319</v>
      </c>
      <c r="J50" s="170">
        <f>61239526.4+5480000</f>
        <v>66719526.399999999</v>
      </c>
      <c r="K50" s="164">
        <v>54074561.850000001</v>
      </c>
      <c r="L50" s="171">
        <v>5334344.3099999996</v>
      </c>
      <c r="M50" s="87">
        <v>956000</v>
      </c>
      <c r="N50" s="87">
        <v>1400000</v>
      </c>
      <c r="O50" s="88">
        <v>4954620.24</v>
      </c>
      <c r="P50" s="171"/>
      <c r="Q50" s="87"/>
      <c r="R50" s="87">
        <v>25287743.649999999</v>
      </c>
      <c r="S50" s="87"/>
      <c r="T50" s="88"/>
      <c r="U50" s="171"/>
      <c r="V50" s="87">
        <v>130370.24000000001</v>
      </c>
      <c r="W50" s="87">
        <v>431350.31</v>
      </c>
      <c r="X50" s="157">
        <f t="shared" si="1"/>
        <v>0</v>
      </c>
      <c r="Y50" s="87">
        <f t="shared" si="2"/>
        <v>0</v>
      </c>
      <c r="Z50" s="87"/>
      <c r="AA50" s="87"/>
      <c r="AB50" s="87"/>
      <c r="AC50" s="87"/>
      <c r="AD50" s="87"/>
      <c r="AE50" s="87"/>
      <c r="AF50" s="87"/>
      <c r="AG50" s="87"/>
      <c r="AH50" s="172"/>
      <c r="AI50" s="88"/>
      <c r="AJ50" s="171">
        <v>935000</v>
      </c>
      <c r="AK50" s="87"/>
      <c r="AL50" s="87">
        <v>23561702.620000001</v>
      </c>
      <c r="AM50" s="157">
        <v>4473035.07</v>
      </c>
      <c r="AN50" s="157">
        <v>4592052.59</v>
      </c>
      <c r="AO50" s="157">
        <v>853651.6799999997</v>
      </c>
      <c r="AP50" s="87">
        <v>450000</v>
      </c>
      <c r="AQ50" s="87"/>
      <c r="AR50" s="87"/>
      <c r="AS50" s="87"/>
      <c r="AT50" s="87"/>
      <c r="AU50" s="88"/>
      <c r="AV50" s="171"/>
      <c r="AW50" s="87"/>
      <c r="AX50" s="88"/>
      <c r="AY50" s="164">
        <v>6004620.2400000002</v>
      </c>
      <c r="AZ50" s="173"/>
      <c r="BA50" s="162"/>
      <c r="BB50" s="87" t="e">
        <f>AY50+AV50+AS50+AP50+#REF!+AL50+AK50+AJ50+Y50+X50+W50+V50+U50+T50+R50+Q50+P50</f>
        <v>#REF!</v>
      </c>
      <c r="BC50" s="87" t="e">
        <f t="shared" si="0"/>
        <v>#REF!</v>
      </c>
    </row>
    <row r="51" spans="2:55" s="163" customFormat="1" ht="79.5" customHeight="1" thickBot="1" x14ac:dyDescent="0.25">
      <c r="B51" s="146"/>
      <c r="C51" s="147" t="e">
        <f>J51-#REF!</f>
        <v>#REF!</v>
      </c>
      <c r="D51" s="148" t="s">
        <v>320</v>
      </c>
      <c r="E51" s="165" t="s">
        <v>321</v>
      </c>
      <c r="F51" s="166"/>
      <c r="G51" s="167"/>
      <c r="H51" s="168" t="s">
        <v>112</v>
      </c>
      <c r="I51" s="169" t="s">
        <v>322</v>
      </c>
      <c r="J51" s="170">
        <f>12840274.14-300108.32+820000</f>
        <v>13360165.82</v>
      </c>
      <c r="K51" s="164">
        <v>5919911.5599999996</v>
      </c>
      <c r="L51" s="171">
        <v>638919.43999999994</v>
      </c>
      <c r="M51" s="87">
        <v>2637162.35</v>
      </c>
      <c r="N51" s="87">
        <v>1322104.47</v>
      </c>
      <c r="O51" s="88">
        <v>2842068</v>
      </c>
      <c r="P51" s="171"/>
      <c r="Q51" s="87"/>
      <c r="R51" s="87"/>
      <c r="S51" s="87"/>
      <c r="T51" s="88"/>
      <c r="U51" s="171"/>
      <c r="V51" s="87"/>
      <c r="W51" s="87"/>
      <c r="X51" s="157">
        <f t="shared" si="1"/>
        <v>0</v>
      </c>
      <c r="Y51" s="87">
        <f t="shared" si="2"/>
        <v>3657932</v>
      </c>
      <c r="Z51" s="87"/>
      <c r="AA51" s="87"/>
      <c r="AB51" s="87">
        <f>2000000-2000000</f>
        <v>0</v>
      </c>
      <c r="AC51" s="87"/>
      <c r="AD51" s="87">
        <v>1657932</v>
      </c>
      <c r="AE51" s="87"/>
      <c r="AF51" s="87"/>
      <c r="AG51" s="87">
        <v>2000000</v>
      </c>
      <c r="AH51" s="172"/>
      <c r="AI51" s="88"/>
      <c r="AJ51" s="171"/>
      <c r="AK51" s="87"/>
      <c r="AL51" s="87">
        <v>3800000</v>
      </c>
      <c r="AM51" s="157">
        <v>135891.68</v>
      </c>
      <c r="AN51" s="157">
        <v>438919.43999999994</v>
      </c>
      <c r="AO51" s="157">
        <v>2245188.88</v>
      </c>
      <c r="AP51" s="87">
        <v>3023233.82</v>
      </c>
      <c r="AQ51" s="87"/>
      <c r="AR51" s="87"/>
      <c r="AS51" s="87"/>
      <c r="AT51" s="87"/>
      <c r="AU51" s="88"/>
      <c r="AV51" s="171">
        <v>59000</v>
      </c>
      <c r="AW51" s="87"/>
      <c r="AX51" s="88"/>
      <c r="AY51" s="164">
        <f>884136-884136</f>
        <v>0</v>
      </c>
      <c r="AZ51" s="173"/>
      <c r="BA51" s="162"/>
      <c r="BB51" s="87" t="e">
        <f>AY51+AV51+AS51+AP51+#REF!+AL51+AK51+AJ51+Y51+X51+W51+V51+U51+T51+R51+Q51+P51</f>
        <v>#REF!</v>
      </c>
      <c r="BC51" s="87" t="e">
        <f t="shared" si="0"/>
        <v>#REF!</v>
      </c>
    </row>
    <row r="52" spans="2:55" s="163" customFormat="1" ht="84.95" customHeight="1" thickBot="1" x14ac:dyDescent="0.25">
      <c r="B52" s="146"/>
      <c r="C52" s="147" t="e">
        <f>J52-#REF!</f>
        <v>#REF!</v>
      </c>
      <c r="D52" s="148" t="s">
        <v>323</v>
      </c>
      <c r="E52" s="165" t="s">
        <v>324</v>
      </c>
      <c r="F52" s="166"/>
      <c r="G52" s="167"/>
      <c r="H52" s="168" t="s">
        <v>112</v>
      </c>
      <c r="I52" s="169" t="s">
        <v>325</v>
      </c>
      <c r="J52" s="170">
        <f>19533027.49+2820000+90000+700000</f>
        <v>23143027.489999998</v>
      </c>
      <c r="K52" s="164">
        <v>9095853.9499999993</v>
      </c>
      <c r="L52" s="171">
        <f>2376173.54+10000-240000</f>
        <v>2146173.54</v>
      </c>
      <c r="M52" s="87">
        <f>6354000+80000+240000+350000</f>
        <v>7024000</v>
      </c>
      <c r="N52" s="87">
        <f>3727000+350000</f>
        <v>4077000</v>
      </c>
      <c r="O52" s="88">
        <v>800000</v>
      </c>
      <c r="P52" s="171"/>
      <c r="Q52" s="87"/>
      <c r="R52" s="87"/>
      <c r="S52" s="87"/>
      <c r="T52" s="88"/>
      <c r="U52" s="171"/>
      <c r="V52" s="87"/>
      <c r="W52" s="87">
        <v>1944108.72</v>
      </c>
      <c r="X52" s="157">
        <f t="shared" si="1"/>
        <v>205590.98</v>
      </c>
      <c r="Y52" s="87">
        <f>AC52+AD52+AE52+AG52+AH52+AI52+Z52</f>
        <v>802522.1</v>
      </c>
      <c r="Z52" s="87">
        <v>712000</v>
      </c>
      <c r="AA52" s="87"/>
      <c r="AB52" s="87">
        <v>62708.76</v>
      </c>
      <c r="AC52" s="87"/>
      <c r="AD52" s="87"/>
      <c r="AE52" s="87"/>
      <c r="AF52" s="87">
        <v>142882.22</v>
      </c>
      <c r="AG52" s="87">
        <v>90522.1</v>
      </c>
      <c r="AH52" s="172"/>
      <c r="AI52" s="88"/>
      <c r="AJ52" s="171">
        <v>25415.19</v>
      </c>
      <c r="AK52" s="87"/>
      <c r="AL52" s="87">
        <v>5035029.4000000004</v>
      </c>
      <c r="AM52" s="157">
        <v>60347.43</v>
      </c>
      <c r="AN52" s="157">
        <v>2234173.54</v>
      </c>
      <c r="AO52" s="157">
        <v>5825342.7999999989</v>
      </c>
      <c r="AP52" s="87">
        <v>6210497.3300000001</v>
      </c>
      <c r="AQ52" s="87"/>
      <c r="AR52" s="87"/>
      <c r="AS52" s="87"/>
      <c r="AT52" s="87"/>
      <c r="AU52" s="88"/>
      <c r="AV52" s="171"/>
      <c r="AW52" s="87"/>
      <c r="AX52" s="88"/>
      <c r="AY52" s="164">
        <v>800000</v>
      </c>
      <c r="AZ52" s="173"/>
      <c r="BA52" s="183"/>
      <c r="BB52" s="87" t="e">
        <f>AY52+AV52+AS52+AP52+#REF!+AL52+AK52+AJ52+Y52+X52+W52+V52+U52+T52+R52+Q52+P52</f>
        <v>#REF!</v>
      </c>
      <c r="BC52" s="87" t="e">
        <f t="shared" si="0"/>
        <v>#REF!</v>
      </c>
    </row>
    <row r="53" spans="2:55" s="163" customFormat="1" ht="70.5" thickBot="1" x14ac:dyDescent="0.25">
      <c r="B53" s="146"/>
      <c r="C53" s="147" t="e">
        <f>J53-#REF!</f>
        <v>#REF!</v>
      </c>
      <c r="D53" s="148" t="s">
        <v>529</v>
      </c>
      <c r="E53" s="165"/>
      <c r="F53" s="166"/>
      <c r="G53" s="167"/>
      <c r="H53" s="168" t="s">
        <v>112</v>
      </c>
      <c r="I53" s="169" t="s">
        <v>530</v>
      </c>
      <c r="J53" s="170">
        <v>11930000</v>
      </c>
      <c r="K53" s="164">
        <v>0</v>
      </c>
      <c r="L53" s="171">
        <v>400000</v>
      </c>
      <c r="M53" s="87">
        <v>400000</v>
      </c>
      <c r="N53" s="87">
        <v>2900000</v>
      </c>
      <c r="O53" s="88">
        <v>8230000</v>
      </c>
      <c r="P53" s="171"/>
      <c r="Q53" s="87"/>
      <c r="R53" s="87"/>
      <c r="S53" s="87"/>
      <c r="T53" s="88"/>
      <c r="U53" s="171"/>
      <c r="V53" s="87"/>
      <c r="W53" s="87"/>
      <c r="X53" s="157">
        <f t="shared" si="1"/>
        <v>0</v>
      </c>
      <c r="Y53" s="87">
        <f t="shared" si="2"/>
        <v>0</v>
      </c>
      <c r="Z53" s="87"/>
      <c r="AA53" s="87"/>
      <c r="AB53" s="87"/>
      <c r="AC53" s="87"/>
      <c r="AD53" s="87"/>
      <c r="AE53" s="87"/>
      <c r="AF53" s="87"/>
      <c r="AG53" s="87"/>
      <c r="AH53" s="172"/>
      <c r="AI53" s="88"/>
      <c r="AJ53" s="171"/>
      <c r="AK53" s="87"/>
      <c r="AL53" s="87"/>
      <c r="AM53" s="157">
        <v>0</v>
      </c>
      <c r="AN53" s="157">
        <v>400000</v>
      </c>
      <c r="AO53" s="157">
        <v>3300000</v>
      </c>
      <c r="AP53" s="87">
        <v>8230000</v>
      </c>
      <c r="AQ53" s="87"/>
      <c r="AR53" s="87"/>
      <c r="AS53" s="87"/>
      <c r="AT53" s="87"/>
      <c r="AU53" s="88"/>
      <c r="AV53" s="171"/>
      <c r="AW53" s="87"/>
      <c r="AX53" s="88"/>
      <c r="AY53" s="164"/>
      <c r="AZ53" s="173"/>
      <c r="BA53" s="162"/>
      <c r="BB53" s="87" t="e">
        <f>AY53+AV53+AS53+AP53+#REF!+AL53+AK53+AJ53+Y53+X53+W53+V53+U53+T53+R53+Q53+P53</f>
        <v>#REF!</v>
      </c>
      <c r="BC53" s="87" t="e">
        <f t="shared" si="0"/>
        <v>#REF!</v>
      </c>
    </row>
    <row r="54" spans="2:55" s="163" customFormat="1" ht="88.35" customHeight="1" thickBot="1" x14ac:dyDescent="0.25">
      <c r="B54" s="146"/>
      <c r="C54" s="147" t="e">
        <f>J54-#REF!</f>
        <v>#REF!</v>
      </c>
      <c r="D54" s="148" t="s">
        <v>531</v>
      </c>
      <c r="E54" s="165"/>
      <c r="F54" s="166"/>
      <c r="G54" s="167"/>
      <c r="H54" s="168" t="s">
        <v>112</v>
      </c>
      <c r="I54" s="169" t="s">
        <v>532</v>
      </c>
      <c r="J54" s="170">
        <f>180000-180000</f>
        <v>0</v>
      </c>
      <c r="K54" s="164">
        <v>0</v>
      </c>
      <c r="L54" s="171"/>
      <c r="M54" s="87"/>
      <c r="N54" s="87"/>
      <c r="O54" s="88"/>
      <c r="P54" s="171"/>
      <c r="Q54" s="87"/>
      <c r="R54" s="87"/>
      <c r="S54" s="87"/>
      <c r="T54" s="88"/>
      <c r="U54" s="171"/>
      <c r="V54" s="87"/>
      <c r="W54" s="87"/>
      <c r="X54" s="157">
        <f t="shared" si="1"/>
        <v>0</v>
      </c>
      <c r="Y54" s="87">
        <f t="shared" si="2"/>
        <v>0</v>
      </c>
      <c r="Z54" s="87"/>
      <c r="AA54" s="87"/>
      <c r="AB54" s="87"/>
      <c r="AC54" s="87"/>
      <c r="AD54" s="87"/>
      <c r="AE54" s="87"/>
      <c r="AF54" s="87"/>
      <c r="AG54" s="87"/>
      <c r="AH54" s="172"/>
      <c r="AI54" s="88"/>
      <c r="AJ54" s="171"/>
      <c r="AK54" s="87"/>
      <c r="AL54" s="87"/>
      <c r="AM54" s="157">
        <v>0</v>
      </c>
      <c r="AN54" s="157">
        <v>0</v>
      </c>
      <c r="AO54" s="157">
        <v>0</v>
      </c>
      <c r="AP54" s="87">
        <v>0</v>
      </c>
      <c r="AQ54" s="87"/>
      <c r="AR54" s="87"/>
      <c r="AS54" s="87"/>
      <c r="AT54" s="87"/>
      <c r="AU54" s="88"/>
      <c r="AV54" s="171"/>
      <c r="AW54" s="87"/>
      <c r="AX54" s="88"/>
      <c r="AY54" s="164"/>
      <c r="AZ54" s="173"/>
      <c r="BA54" s="162"/>
      <c r="BB54" s="87" t="e">
        <f>AY54+AV54+AS54+AP54+#REF!+AL54+AK54+AJ54+Y54+X54+W54+V54+U54+T54+R54+Q54+P54</f>
        <v>#REF!</v>
      </c>
      <c r="BC54" s="87" t="e">
        <f t="shared" si="0"/>
        <v>#REF!</v>
      </c>
    </row>
    <row r="55" spans="2:55" s="163" customFormat="1" ht="71.650000000000006" customHeight="1" thickBot="1" x14ac:dyDescent="0.25">
      <c r="B55" s="146"/>
      <c r="C55" s="147" t="e">
        <f>J55-#REF!</f>
        <v>#REF!</v>
      </c>
      <c r="D55" s="148" t="s">
        <v>533</v>
      </c>
      <c r="E55" s="165" t="s">
        <v>534</v>
      </c>
      <c r="F55" s="166"/>
      <c r="G55" s="167"/>
      <c r="H55" s="174" t="s">
        <v>112</v>
      </c>
      <c r="I55" s="169" t="s">
        <v>535</v>
      </c>
      <c r="J55" s="170">
        <v>22696819.52</v>
      </c>
      <c r="K55" s="164">
        <v>3488102.76</v>
      </c>
      <c r="L55" s="171">
        <f>8301770.2-436433.55</f>
        <v>7865336.6500000004</v>
      </c>
      <c r="M55" s="87">
        <f>8906946.56+436433.55</f>
        <v>9343380.1100000013</v>
      </c>
      <c r="N55" s="87">
        <v>2000000</v>
      </c>
      <c r="O55" s="88"/>
      <c r="P55" s="171">
        <v>10877357.5</v>
      </c>
      <c r="Q55" s="87"/>
      <c r="R55" s="87">
        <v>361519.83</v>
      </c>
      <c r="S55" s="87"/>
      <c r="T55" s="88"/>
      <c r="U55" s="171"/>
      <c r="V55" s="87">
        <v>14549.34</v>
      </c>
      <c r="W55" s="87"/>
      <c r="X55" s="157">
        <f t="shared" si="1"/>
        <v>0</v>
      </c>
      <c r="Y55" s="87">
        <f t="shared" si="2"/>
        <v>0</v>
      </c>
      <c r="Z55" s="87"/>
      <c r="AA55" s="87"/>
      <c r="AB55" s="87"/>
      <c r="AC55" s="87"/>
      <c r="AD55" s="87"/>
      <c r="AE55" s="87"/>
      <c r="AF55" s="87"/>
      <c r="AG55" s="87"/>
      <c r="AH55" s="172"/>
      <c r="AI55" s="88"/>
      <c r="AJ55" s="171"/>
      <c r="AK55" s="87"/>
      <c r="AL55" s="87"/>
      <c r="AM55" s="157">
        <v>0</v>
      </c>
      <c r="AN55" s="157">
        <v>0</v>
      </c>
      <c r="AO55" s="157">
        <v>6334404.5800000001</v>
      </c>
      <c r="AP55" s="87">
        <v>4954051.2</v>
      </c>
      <c r="AQ55" s="87"/>
      <c r="AR55" s="87"/>
      <c r="AS55" s="87"/>
      <c r="AT55" s="87"/>
      <c r="AU55" s="88"/>
      <c r="AV55" s="171">
        <v>154937.07</v>
      </c>
      <c r="AW55" s="87"/>
      <c r="AX55" s="88"/>
      <c r="AY55" s="164"/>
      <c r="AZ55" s="173"/>
      <c r="BA55" s="162"/>
      <c r="BB55" s="87" t="e">
        <f>AY55+AV55+AS55+AP55+#REF!+AL55+AK55+AJ55+Y55+X55+W55+V55+U55+T55+R55+Q55+P55</f>
        <v>#REF!</v>
      </c>
      <c r="BC55" s="87" t="e">
        <f t="shared" si="0"/>
        <v>#REF!</v>
      </c>
    </row>
    <row r="56" spans="2:55" s="163" customFormat="1" ht="123" customHeight="1" thickBot="1" x14ac:dyDescent="0.25">
      <c r="B56" s="146"/>
      <c r="C56" s="147" t="e">
        <f>J56-#REF!</f>
        <v>#REF!</v>
      </c>
      <c r="D56" s="148" t="s">
        <v>536</v>
      </c>
      <c r="E56" s="439"/>
      <c r="F56" s="440"/>
      <c r="G56" s="167"/>
      <c r="H56" s="168" t="s">
        <v>160</v>
      </c>
      <c r="I56" s="169" t="s">
        <v>163</v>
      </c>
      <c r="J56" s="441">
        <v>24451820</v>
      </c>
      <c r="K56" s="442">
        <v>0</v>
      </c>
      <c r="L56" s="184">
        <f>828920-528920+162871.82</f>
        <v>462871.82</v>
      </c>
      <c r="M56" s="181">
        <f>5593290+528920-162871.82</f>
        <v>5959338.1799999997</v>
      </c>
      <c r="N56" s="181">
        <v>3884170</v>
      </c>
      <c r="O56" s="443">
        <v>14145440</v>
      </c>
      <c r="P56" s="184"/>
      <c r="Q56" s="181"/>
      <c r="R56" s="181"/>
      <c r="S56" s="181"/>
      <c r="T56" s="443"/>
      <c r="U56" s="184"/>
      <c r="V56" s="181"/>
      <c r="W56" s="181"/>
      <c r="X56" s="157">
        <f t="shared" si="1"/>
        <v>0</v>
      </c>
      <c r="Y56" s="87">
        <f t="shared" si="2"/>
        <v>0</v>
      </c>
      <c r="Z56" s="181"/>
      <c r="AA56" s="181"/>
      <c r="AB56" s="181"/>
      <c r="AC56" s="181"/>
      <c r="AD56" s="181"/>
      <c r="AE56" s="181"/>
      <c r="AF56" s="181"/>
      <c r="AG56" s="181"/>
      <c r="AH56" s="185"/>
      <c r="AI56" s="443"/>
      <c r="AJ56" s="184"/>
      <c r="AK56" s="181"/>
      <c r="AL56" s="181"/>
      <c r="AM56" s="157">
        <v>0</v>
      </c>
      <c r="AN56" s="157">
        <v>462871.82</v>
      </c>
      <c r="AO56" s="157">
        <v>4159338.18</v>
      </c>
      <c r="AP56" s="87">
        <v>2068960.35</v>
      </c>
      <c r="AQ56" s="181"/>
      <c r="AR56" s="181"/>
      <c r="AS56" s="181"/>
      <c r="AT56" s="181"/>
      <c r="AU56" s="443"/>
      <c r="AV56" s="184"/>
      <c r="AW56" s="181"/>
      <c r="AX56" s="443"/>
      <c r="AY56" s="442">
        <f>17034041.56+726608.09</f>
        <v>17760649.649999999</v>
      </c>
      <c r="AZ56" s="444"/>
      <c r="BA56" s="162"/>
      <c r="BB56" s="87" t="e">
        <f>AY56+AV56+AS56+AP56+#REF!+AL56+AK56+AJ56+Y56+X56+W56+V56+U56+T56+R56+Q56+P56</f>
        <v>#REF!</v>
      </c>
      <c r="BC56" s="87" t="e">
        <f t="shared" si="0"/>
        <v>#REF!</v>
      </c>
    </row>
    <row r="57" spans="2:55" s="163" customFormat="1" ht="171.75" customHeight="1" thickBot="1" x14ac:dyDescent="0.25">
      <c r="B57" s="146"/>
      <c r="C57" s="147" t="e">
        <f>J57-#REF!</f>
        <v>#REF!</v>
      </c>
      <c r="D57" s="148" t="s">
        <v>537</v>
      </c>
      <c r="E57" s="445"/>
      <c r="F57" s="446"/>
      <c r="G57" s="447"/>
      <c r="H57" s="448" t="s">
        <v>160</v>
      </c>
      <c r="I57" s="449" t="s">
        <v>538</v>
      </c>
      <c r="J57" s="450">
        <v>26320337.420000002</v>
      </c>
      <c r="K57" s="186">
        <v>0</v>
      </c>
      <c r="L57" s="451">
        <v>600000</v>
      </c>
      <c r="M57" s="452">
        <v>2251413.41</v>
      </c>
      <c r="N57" s="452">
        <v>2717000</v>
      </c>
      <c r="O57" s="453">
        <v>20751924.010000002</v>
      </c>
      <c r="P57" s="451"/>
      <c r="Q57" s="452"/>
      <c r="R57" s="452"/>
      <c r="S57" s="452"/>
      <c r="T57" s="453"/>
      <c r="U57" s="451"/>
      <c r="V57" s="452"/>
      <c r="W57" s="452"/>
      <c r="X57" s="157">
        <f t="shared" si="1"/>
        <v>0</v>
      </c>
      <c r="Y57" s="87">
        <f t="shared" si="2"/>
        <v>0</v>
      </c>
      <c r="Z57" s="181"/>
      <c r="AA57" s="452"/>
      <c r="AB57" s="452"/>
      <c r="AC57" s="452"/>
      <c r="AD57" s="452"/>
      <c r="AE57" s="452"/>
      <c r="AF57" s="452"/>
      <c r="AG57" s="452"/>
      <c r="AH57" s="454"/>
      <c r="AI57" s="453"/>
      <c r="AJ57" s="451"/>
      <c r="AK57" s="452"/>
      <c r="AL57" s="452"/>
      <c r="AM57" s="157">
        <v>0</v>
      </c>
      <c r="AN57" s="157">
        <v>600000</v>
      </c>
      <c r="AO57" s="157">
        <v>968413.41</v>
      </c>
      <c r="AP57" s="452">
        <v>0</v>
      </c>
      <c r="AQ57" s="452"/>
      <c r="AR57" s="452"/>
      <c r="AS57" s="452"/>
      <c r="AT57" s="452"/>
      <c r="AU57" s="453"/>
      <c r="AV57" s="451"/>
      <c r="AW57" s="452"/>
      <c r="AX57" s="453"/>
      <c r="AY57" s="186">
        <v>24751924.010000002</v>
      </c>
      <c r="AZ57" s="455"/>
      <c r="BA57" s="162"/>
      <c r="BB57" s="87" t="e">
        <f>AY57+AV57+AS57+AP57+#REF!+AL57+AK57+AJ57+Y57+X57+W57+V57+U57+T57+R57+Q57+P57</f>
        <v>#REF!</v>
      </c>
      <c r="BC57" s="87" t="e">
        <f t="shared" si="0"/>
        <v>#REF!</v>
      </c>
    </row>
    <row r="58" spans="2:55" s="163" customFormat="1" ht="146.65" hidden="1" customHeight="1" thickBot="1" x14ac:dyDescent="0.25">
      <c r="B58" s="456"/>
      <c r="C58" s="147"/>
      <c r="D58" s="148"/>
      <c r="E58" s="165"/>
      <c r="F58" s="166"/>
      <c r="G58" s="167"/>
      <c r="H58" s="174"/>
      <c r="I58" s="169"/>
      <c r="J58" s="170"/>
      <c r="K58" s="164"/>
      <c r="L58" s="171"/>
      <c r="M58" s="87"/>
      <c r="N58" s="87"/>
      <c r="O58" s="88"/>
      <c r="P58" s="171"/>
      <c r="Q58" s="87"/>
      <c r="R58" s="87"/>
      <c r="S58" s="87"/>
      <c r="T58" s="88"/>
      <c r="U58" s="171"/>
      <c r="V58" s="87"/>
      <c r="W58" s="87"/>
      <c r="X58" s="157"/>
      <c r="Y58" s="87"/>
      <c r="Z58" s="87"/>
      <c r="AA58" s="87"/>
      <c r="AB58" s="87"/>
      <c r="AC58" s="87"/>
      <c r="AD58" s="87"/>
      <c r="AE58" s="87"/>
      <c r="AF58" s="87"/>
      <c r="AG58" s="87"/>
      <c r="AH58" s="172"/>
      <c r="AI58" s="88"/>
      <c r="AJ58" s="171"/>
      <c r="AK58" s="87"/>
      <c r="AL58" s="87"/>
      <c r="AM58" s="157">
        <v>0</v>
      </c>
      <c r="AN58" s="157">
        <v>0</v>
      </c>
      <c r="AO58" s="157">
        <v>0</v>
      </c>
      <c r="AP58" s="87"/>
      <c r="AQ58" s="87"/>
      <c r="AR58" s="87"/>
      <c r="AS58" s="87"/>
      <c r="AT58" s="87"/>
      <c r="AU58" s="88"/>
      <c r="AV58" s="171"/>
      <c r="AW58" s="87"/>
      <c r="AX58" s="88"/>
      <c r="AY58" s="164"/>
      <c r="AZ58" s="173"/>
      <c r="BA58" s="162"/>
      <c r="BB58" s="87" t="e">
        <f>AY58+AV58+AS58+AP58+#REF!+AL58+AK58+AJ58+Y58+X58+W58+V58+U58+T58+R58+Q58+P58</f>
        <v>#REF!</v>
      </c>
      <c r="BC58" s="87"/>
    </row>
    <row r="59" spans="2:55" s="163" customFormat="1" ht="196.7" customHeight="1" thickBot="1" x14ac:dyDescent="0.25">
      <c r="B59" s="456"/>
      <c r="C59" s="147"/>
      <c r="D59" s="148" t="s">
        <v>539</v>
      </c>
      <c r="E59" s="165" t="s">
        <v>540</v>
      </c>
      <c r="F59" s="166"/>
      <c r="G59" s="167"/>
      <c r="H59" s="174" t="s">
        <v>326</v>
      </c>
      <c r="I59" s="169" t="s">
        <v>541</v>
      </c>
      <c r="J59" s="170">
        <f>25200000+4800000</f>
        <v>30000000</v>
      </c>
      <c r="K59" s="164">
        <v>0</v>
      </c>
      <c r="L59" s="171">
        <v>200000</v>
      </c>
      <c r="M59" s="87">
        <v>10000000</v>
      </c>
      <c r="N59" s="87">
        <v>6000000</v>
      </c>
      <c r="O59" s="88">
        <v>13800000</v>
      </c>
      <c r="P59" s="171"/>
      <c r="Q59" s="87"/>
      <c r="R59" s="87"/>
      <c r="S59" s="87"/>
      <c r="T59" s="88"/>
      <c r="U59" s="171"/>
      <c r="V59" s="87"/>
      <c r="W59" s="87"/>
      <c r="X59" s="157">
        <f t="shared" si="1"/>
        <v>0</v>
      </c>
      <c r="Y59" s="87">
        <f t="shared" si="2"/>
        <v>0</v>
      </c>
      <c r="Z59" s="87"/>
      <c r="AA59" s="87"/>
      <c r="AB59" s="87"/>
      <c r="AC59" s="87"/>
      <c r="AD59" s="87"/>
      <c r="AE59" s="87"/>
      <c r="AF59" s="87"/>
      <c r="AG59" s="87"/>
      <c r="AH59" s="172"/>
      <c r="AI59" s="88"/>
      <c r="AJ59" s="171"/>
      <c r="AK59" s="87"/>
      <c r="AL59" s="87"/>
      <c r="AM59" s="157">
        <v>0</v>
      </c>
      <c r="AN59" s="157">
        <v>200000</v>
      </c>
      <c r="AO59" s="157">
        <v>12000000</v>
      </c>
      <c r="AP59" s="87">
        <v>17800000</v>
      </c>
      <c r="AQ59" s="87"/>
      <c r="AR59" s="87"/>
      <c r="AS59" s="87"/>
      <c r="AT59" s="87"/>
      <c r="AU59" s="88"/>
      <c r="AV59" s="171"/>
      <c r="AW59" s="87"/>
      <c r="AX59" s="88"/>
      <c r="AY59" s="164">
        <f>14000000-14000000</f>
        <v>0</v>
      </c>
      <c r="AZ59" s="173"/>
      <c r="BA59" s="162"/>
      <c r="BB59" s="87" t="e">
        <f>AY59+AV59+AS59+AP59+#REF!+AL59+AK59+AJ59+Y59+X59+W59+V59+U59+T59+R59+Q59+P59-9000000</f>
        <v>#REF!</v>
      </c>
      <c r="BC59" s="87" t="e">
        <f>J59-BB59</f>
        <v>#REF!</v>
      </c>
    </row>
    <row r="60" spans="2:55" s="163" customFormat="1" ht="117" thickBot="1" x14ac:dyDescent="0.25">
      <c r="B60" s="456"/>
      <c r="C60" s="147"/>
      <c r="D60" s="148" t="s">
        <v>542</v>
      </c>
      <c r="E60" s="165"/>
      <c r="F60" s="166"/>
      <c r="G60" s="167"/>
      <c r="H60" s="174"/>
      <c r="I60" s="169" t="s">
        <v>543</v>
      </c>
      <c r="J60" s="170">
        <v>400000</v>
      </c>
      <c r="K60" s="164">
        <v>0</v>
      </c>
      <c r="L60" s="171">
        <v>400000</v>
      </c>
      <c r="M60" s="87"/>
      <c r="N60" s="87"/>
      <c r="O60" s="88"/>
      <c r="P60" s="171"/>
      <c r="Q60" s="87"/>
      <c r="R60" s="87"/>
      <c r="S60" s="87"/>
      <c r="T60" s="88"/>
      <c r="U60" s="171"/>
      <c r="V60" s="87"/>
      <c r="W60" s="87"/>
      <c r="X60" s="157">
        <f t="shared" si="1"/>
        <v>0</v>
      </c>
      <c r="Y60" s="87">
        <f t="shared" si="2"/>
        <v>0</v>
      </c>
      <c r="Z60" s="87"/>
      <c r="AA60" s="87"/>
      <c r="AB60" s="87"/>
      <c r="AC60" s="87"/>
      <c r="AD60" s="87"/>
      <c r="AE60" s="87"/>
      <c r="AF60" s="87"/>
      <c r="AG60" s="87"/>
      <c r="AH60" s="172"/>
      <c r="AI60" s="88"/>
      <c r="AJ60" s="171"/>
      <c r="AK60" s="87"/>
      <c r="AL60" s="87"/>
      <c r="AM60" s="157">
        <v>0</v>
      </c>
      <c r="AN60" s="157">
        <v>400000</v>
      </c>
      <c r="AO60" s="157">
        <v>0</v>
      </c>
      <c r="AP60" s="87"/>
      <c r="AQ60" s="87"/>
      <c r="AR60" s="87"/>
      <c r="AS60" s="87"/>
      <c r="AT60" s="87"/>
      <c r="AU60" s="88"/>
      <c r="AV60" s="171"/>
      <c r="AW60" s="87"/>
      <c r="AX60" s="88"/>
      <c r="AY60" s="164"/>
      <c r="AZ60" s="173"/>
      <c r="BA60" s="162"/>
      <c r="BB60" s="87" t="e">
        <f>AY60+AV60+AS60+AP60+#REF!+AL60+AJ60+AK60+Y60+X60+W60+V60+U60+T60+R60+Q60+P60-#REF!+#REF!</f>
        <v>#REF!</v>
      </c>
      <c r="BC60" s="87"/>
    </row>
    <row r="61" spans="2:55" s="163" customFormat="1" ht="140.25" thickBot="1" x14ac:dyDescent="0.25">
      <c r="B61" s="456"/>
      <c r="C61" s="147"/>
      <c r="D61" s="148" t="s">
        <v>544</v>
      </c>
      <c r="E61" s="165"/>
      <c r="F61" s="166"/>
      <c r="G61" s="167"/>
      <c r="H61" s="174"/>
      <c r="I61" s="169" t="s">
        <v>545</v>
      </c>
      <c r="J61" s="170">
        <v>380000</v>
      </c>
      <c r="K61" s="164">
        <v>0</v>
      </c>
      <c r="L61" s="171"/>
      <c r="M61" s="87">
        <v>380000</v>
      </c>
      <c r="N61" s="87"/>
      <c r="O61" s="88"/>
      <c r="P61" s="171"/>
      <c r="Q61" s="87"/>
      <c r="R61" s="87"/>
      <c r="S61" s="87"/>
      <c r="T61" s="88"/>
      <c r="U61" s="171"/>
      <c r="V61" s="87"/>
      <c r="W61" s="87"/>
      <c r="X61" s="157">
        <f t="shared" si="1"/>
        <v>0</v>
      </c>
      <c r="Y61" s="87">
        <f t="shared" si="2"/>
        <v>380000</v>
      </c>
      <c r="Z61" s="87"/>
      <c r="AA61" s="87"/>
      <c r="AB61" s="87"/>
      <c r="AC61" s="87"/>
      <c r="AD61" s="87"/>
      <c r="AE61" s="87"/>
      <c r="AF61" s="87"/>
      <c r="AG61" s="87"/>
      <c r="AH61" s="172">
        <v>380000</v>
      </c>
      <c r="AI61" s="88"/>
      <c r="AJ61" s="171"/>
      <c r="AK61" s="87"/>
      <c r="AL61" s="87"/>
      <c r="AM61" s="157">
        <v>0</v>
      </c>
      <c r="AN61" s="157">
        <v>0</v>
      </c>
      <c r="AO61" s="157">
        <v>0</v>
      </c>
      <c r="AP61" s="87"/>
      <c r="AQ61" s="87"/>
      <c r="AR61" s="87"/>
      <c r="AS61" s="87"/>
      <c r="AT61" s="87"/>
      <c r="AU61" s="88"/>
      <c r="AV61" s="171"/>
      <c r="AW61" s="87"/>
      <c r="AX61" s="88"/>
      <c r="AY61" s="164"/>
      <c r="AZ61" s="173"/>
      <c r="BA61" s="162"/>
      <c r="BB61" s="87" t="e">
        <f>AY61+AV61+AS61+AP61+#REF!+AL61+AJ61+AK61+Y61+X61+W61+V61+U61+T61+R61+Q61+P61-#REF!+#REF!</f>
        <v>#REF!</v>
      </c>
      <c r="BC61" s="87" t="e">
        <f>J61-BB61</f>
        <v>#REF!</v>
      </c>
    </row>
    <row r="62" spans="2:55" s="163" customFormat="1" ht="93.75" thickBot="1" x14ac:dyDescent="0.25">
      <c r="B62" s="456"/>
      <c r="C62" s="147"/>
      <c r="D62" s="148" t="s">
        <v>546</v>
      </c>
      <c r="E62" s="165"/>
      <c r="F62" s="166"/>
      <c r="G62" s="167"/>
      <c r="H62" s="174"/>
      <c r="I62" s="169" t="s">
        <v>547</v>
      </c>
      <c r="J62" s="170">
        <v>200000</v>
      </c>
      <c r="K62" s="164"/>
      <c r="L62" s="171">
        <v>200000</v>
      </c>
      <c r="M62" s="87"/>
      <c r="N62" s="87"/>
      <c r="O62" s="88"/>
      <c r="P62" s="171"/>
      <c r="Q62" s="87"/>
      <c r="R62" s="87"/>
      <c r="S62" s="87"/>
      <c r="T62" s="88"/>
      <c r="U62" s="171"/>
      <c r="V62" s="87"/>
      <c r="W62" s="87"/>
      <c r="X62" s="157">
        <f t="shared" si="1"/>
        <v>0</v>
      </c>
      <c r="Y62" s="87">
        <f t="shared" si="2"/>
        <v>0</v>
      </c>
      <c r="Z62" s="87"/>
      <c r="AA62" s="87"/>
      <c r="AB62" s="87"/>
      <c r="AC62" s="87"/>
      <c r="AD62" s="87"/>
      <c r="AE62" s="87"/>
      <c r="AF62" s="87"/>
      <c r="AG62" s="87"/>
      <c r="AH62" s="172"/>
      <c r="AI62" s="88"/>
      <c r="AJ62" s="171"/>
      <c r="AK62" s="87"/>
      <c r="AL62" s="87"/>
      <c r="AM62" s="157">
        <v>0</v>
      </c>
      <c r="AN62" s="157">
        <v>200000</v>
      </c>
      <c r="AO62" s="157">
        <v>0</v>
      </c>
      <c r="AP62" s="87"/>
      <c r="AQ62" s="87"/>
      <c r="AR62" s="87"/>
      <c r="AS62" s="87"/>
      <c r="AT62" s="87"/>
      <c r="AU62" s="88"/>
      <c r="AV62" s="171"/>
      <c r="AW62" s="87"/>
      <c r="AX62" s="88"/>
      <c r="AY62" s="164"/>
      <c r="AZ62" s="173"/>
      <c r="BA62" s="162"/>
      <c r="BB62" s="87"/>
      <c r="BC62" s="87"/>
    </row>
    <row r="63" spans="2:55" ht="66.599999999999994" customHeight="1" thickBot="1" x14ac:dyDescent="0.25">
      <c r="B63" s="99"/>
      <c r="C63" s="457" t="e">
        <f>SUM(C11:C59)</f>
        <v>#REF!</v>
      </c>
      <c r="I63" s="458" t="s">
        <v>548</v>
      </c>
      <c r="J63" s="457">
        <f t="shared" ref="J63:P63" si="3">SUM(J11:J62)</f>
        <v>393820984.55000001</v>
      </c>
      <c r="K63" s="457">
        <f t="shared" si="3"/>
        <v>152791585.94</v>
      </c>
      <c r="L63" s="457">
        <f t="shared" si="3"/>
        <v>35997761.380000003</v>
      </c>
      <c r="M63" s="457">
        <f t="shared" si="3"/>
        <v>71291078.210000008</v>
      </c>
      <c r="N63" s="457">
        <f t="shared" si="3"/>
        <v>46131543.980000004</v>
      </c>
      <c r="O63" s="457">
        <f t="shared" si="3"/>
        <v>87609015.040000007</v>
      </c>
      <c r="P63" s="457">
        <f t="shared" si="3"/>
        <v>18077357.5</v>
      </c>
      <c r="Q63" s="457">
        <f>SUM(Q11:Q62)</f>
        <v>0</v>
      </c>
      <c r="R63" s="457">
        <f>SUM(R11:R62)</f>
        <v>61424026.719999999</v>
      </c>
      <c r="S63" s="457">
        <f>SUM(S11:S59)</f>
        <v>0</v>
      </c>
      <c r="T63" s="457">
        <f>SUM(T11:T59)</f>
        <v>0</v>
      </c>
      <c r="U63" s="457">
        <f t="shared" ref="U63:AZ63" si="4">SUM(U11:U62)</f>
        <v>0</v>
      </c>
      <c r="V63" s="457">
        <f t="shared" si="4"/>
        <v>368953.17000000004</v>
      </c>
      <c r="W63" s="457">
        <f t="shared" si="4"/>
        <v>10610736.369999999</v>
      </c>
      <c r="X63" s="457">
        <f t="shared" si="4"/>
        <v>10734147.76</v>
      </c>
      <c r="Y63" s="457">
        <f t="shared" si="4"/>
        <v>14066644.35</v>
      </c>
      <c r="Z63" s="457">
        <f t="shared" si="4"/>
        <v>3428000</v>
      </c>
      <c r="AA63" s="457">
        <f t="shared" si="4"/>
        <v>44688</v>
      </c>
      <c r="AB63" s="457">
        <f t="shared" si="4"/>
        <v>7915272.6399999987</v>
      </c>
      <c r="AC63" s="457">
        <f t="shared" si="4"/>
        <v>0</v>
      </c>
      <c r="AD63" s="457">
        <f t="shared" si="4"/>
        <v>1657932</v>
      </c>
      <c r="AE63" s="457">
        <f t="shared" si="4"/>
        <v>0</v>
      </c>
      <c r="AF63" s="457">
        <f t="shared" si="4"/>
        <v>2774187.12</v>
      </c>
      <c r="AG63" s="457">
        <f t="shared" si="4"/>
        <v>3957861.47</v>
      </c>
      <c r="AH63" s="457">
        <f t="shared" si="4"/>
        <v>380000</v>
      </c>
      <c r="AI63" s="457">
        <f t="shared" si="4"/>
        <v>4642850.88</v>
      </c>
      <c r="AJ63" s="457">
        <f t="shared" si="4"/>
        <v>1384800.5299999998</v>
      </c>
      <c r="AK63" s="457">
        <f t="shared" si="4"/>
        <v>0</v>
      </c>
      <c r="AL63" s="457">
        <f t="shared" si="4"/>
        <v>45510463.619999997</v>
      </c>
      <c r="AM63" s="457">
        <f t="shared" si="4"/>
        <v>10510538.199999999</v>
      </c>
      <c r="AN63" s="457">
        <f t="shared" si="4"/>
        <v>22195666.23</v>
      </c>
      <c r="AO63" s="457">
        <f t="shared" si="4"/>
        <v>59564138.389999993</v>
      </c>
      <c r="AP63" s="457">
        <f t="shared" si="4"/>
        <v>63012024.760000005</v>
      </c>
      <c r="AQ63" s="457">
        <f t="shared" si="4"/>
        <v>0</v>
      </c>
      <c r="AR63" s="457">
        <f t="shared" si="4"/>
        <v>0</v>
      </c>
      <c r="AS63" s="457">
        <f t="shared" si="4"/>
        <v>0</v>
      </c>
      <c r="AT63" s="457">
        <f t="shared" si="4"/>
        <v>0</v>
      </c>
      <c r="AU63" s="457">
        <f t="shared" si="4"/>
        <v>0</v>
      </c>
      <c r="AV63" s="457">
        <f t="shared" si="4"/>
        <v>9524206.2699999996</v>
      </c>
      <c r="AW63" s="457">
        <f t="shared" si="4"/>
        <v>87291.07</v>
      </c>
      <c r="AX63" s="457">
        <f t="shared" si="4"/>
        <v>0</v>
      </c>
      <c r="AY63" s="457">
        <f t="shared" si="4"/>
        <v>66837280.680000007</v>
      </c>
      <c r="AZ63" s="457">
        <f t="shared" si="4"/>
        <v>0</v>
      </c>
      <c r="BA63" s="457"/>
      <c r="BB63" s="457" t="e">
        <f>SUM(BB11:BB61)</f>
        <v>#REF!</v>
      </c>
      <c r="BC63" s="457" t="e">
        <f>SUM(BC11:BC61)</f>
        <v>#REF!</v>
      </c>
    </row>
    <row r="64" spans="2:55" hidden="1" x14ac:dyDescent="0.2">
      <c r="I64" s="187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8"/>
      <c r="U64" s="188"/>
      <c r="V64" s="188"/>
      <c r="W64" s="188"/>
      <c r="X64" s="188"/>
      <c r="Y64" s="188"/>
      <c r="Z64" s="188"/>
      <c r="AA64" s="188"/>
      <c r="AB64" s="188"/>
      <c r="AC64" s="188"/>
      <c r="AD64" s="188"/>
      <c r="AE64" s="188"/>
      <c r="AF64" s="188"/>
      <c r="AG64" s="188"/>
      <c r="AH64" s="188"/>
      <c r="AI64" s="188"/>
      <c r="AL64" s="53" t="s">
        <v>549</v>
      </c>
      <c r="AP64" s="188"/>
      <c r="AQ64" s="188"/>
      <c r="AR64" s="188"/>
      <c r="AS64" s="188"/>
      <c r="AT64" s="188"/>
      <c r="AU64" s="188"/>
      <c r="AV64" s="188"/>
      <c r="AW64" s="188"/>
      <c r="AX64" s="188"/>
      <c r="AY64" s="188"/>
      <c r="AZ64" s="188"/>
      <c r="BA64" s="189"/>
    </row>
    <row r="65" spans="4:53" hidden="1" x14ac:dyDescent="0.2">
      <c r="I65" s="187"/>
      <c r="J65" s="188"/>
      <c r="K65" s="188" t="e">
        <f>J63-K63-#REF!</f>
        <v>#REF!</v>
      </c>
      <c r="L65" s="188"/>
      <c r="M65" s="188"/>
      <c r="N65" s="188"/>
      <c r="O65" s="188"/>
      <c r="P65" s="117"/>
      <c r="Q65" s="188"/>
      <c r="R65" s="188"/>
      <c r="S65" s="188"/>
      <c r="T65" s="188"/>
      <c r="U65" s="117"/>
      <c r="V65" s="188"/>
      <c r="W65" s="188"/>
      <c r="X65" s="188">
        <v>0</v>
      </c>
      <c r="Y65" s="188">
        <v>21131253.939999998</v>
      </c>
      <c r="Z65" s="188"/>
      <c r="AA65" s="188"/>
      <c r="AB65" s="188"/>
      <c r="AC65" s="188"/>
      <c r="AD65" s="188"/>
      <c r="AE65" s="188"/>
      <c r="AF65" s="188"/>
      <c r="AG65" s="188"/>
      <c r="AH65" s="188"/>
      <c r="AI65" s="188"/>
      <c r="AJ65" s="188"/>
      <c r="AK65" s="188"/>
      <c r="AL65" s="188" t="e">
        <f>AL63+#REF!</f>
        <v>#REF!</v>
      </c>
      <c r="AM65" s="188"/>
      <c r="AN65" s="188"/>
      <c r="AO65" s="188"/>
      <c r="AP65" s="188"/>
      <c r="AQ65" s="188"/>
      <c r="AR65" s="188"/>
      <c r="AS65" s="188"/>
      <c r="AT65" s="188"/>
      <c r="AU65" s="188"/>
      <c r="AV65" s="188"/>
      <c r="AW65" s="188"/>
      <c r="AX65" s="188"/>
      <c r="AY65" s="188"/>
      <c r="AZ65" s="188"/>
      <c r="BA65" s="189"/>
    </row>
    <row r="66" spans="4:53" hidden="1" x14ac:dyDescent="0.2">
      <c r="I66" s="187"/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8"/>
      <c r="AF66" s="188"/>
      <c r="AG66" s="188"/>
      <c r="AH66" s="188"/>
      <c r="AI66" s="188"/>
      <c r="AJ66" s="188"/>
      <c r="AK66" s="188"/>
      <c r="AL66" s="188"/>
      <c r="AM66" s="188"/>
      <c r="AN66" s="188"/>
      <c r="AO66" s="188"/>
      <c r="AP66" s="188"/>
      <c r="AQ66" s="188"/>
      <c r="AR66" s="188"/>
      <c r="AS66" s="188"/>
      <c r="AT66" s="188"/>
      <c r="AU66" s="188"/>
      <c r="AV66" s="188"/>
      <c r="AW66" s="188"/>
      <c r="AX66" s="188"/>
      <c r="AY66" s="188"/>
      <c r="AZ66" s="188"/>
      <c r="BA66" s="189"/>
    </row>
    <row r="67" spans="4:53" s="464" customFormat="1" ht="46.5" hidden="1" x14ac:dyDescent="0.2">
      <c r="D67" s="459"/>
      <c r="E67" s="460"/>
      <c r="F67" s="460"/>
      <c r="G67" s="460"/>
      <c r="H67" s="460"/>
      <c r="I67" s="461" t="s">
        <v>550</v>
      </c>
      <c r="J67" s="462"/>
      <c r="K67" s="462"/>
      <c r="L67" s="462"/>
      <c r="M67" s="462"/>
      <c r="N67" s="462"/>
      <c r="O67" s="462"/>
      <c r="P67" s="462"/>
      <c r="Q67" s="462"/>
      <c r="R67" s="462"/>
      <c r="S67" s="462"/>
      <c r="T67" s="462"/>
      <c r="U67" s="462"/>
      <c r="V67" s="462"/>
      <c r="W67" s="462"/>
      <c r="X67" s="462"/>
      <c r="Y67" s="462"/>
      <c r="Z67" s="462"/>
      <c r="AA67" s="462"/>
      <c r="AB67" s="462"/>
      <c r="AC67" s="462"/>
      <c r="AD67" s="462"/>
      <c r="AE67" s="462"/>
      <c r="AF67" s="462"/>
      <c r="AG67" s="462"/>
      <c r="AH67" s="462"/>
      <c r="AI67" s="462"/>
      <c r="AJ67" s="462"/>
      <c r="AK67" s="462"/>
      <c r="AL67" s="462"/>
      <c r="AM67" s="462"/>
      <c r="AN67" s="462"/>
      <c r="AO67" s="462"/>
      <c r="AP67" s="462"/>
      <c r="AQ67" s="462"/>
      <c r="AR67" s="462"/>
      <c r="AS67" s="462"/>
      <c r="AT67" s="462"/>
      <c r="AU67" s="462"/>
      <c r="AV67" s="462"/>
      <c r="AW67" s="462"/>
      <c r="AX67" s="462"/>
      <c r="AY67" s="462"/>
      <c r="AZ67" s="462"/>
      <c r="BA67" s="463"/>
    </row>
    <row r="68" spans="4:53" hidden="1" x14ac:dyDescent="0.2">
      <c r="I68" s="187"/>
      <c r="J68" s="188"/>
      <c r="K68" s="188"/>
      <c r="L68" s="188"/>
      <c r="M68" s="188"/>
      <c r="N68" s="188"/>
      <c r="O68" s="188"/>
      <c r="P68" s="188"/>
      <c r="Q68" s="188"/>
      <c r="R68" s="188"/>
      <c r="S68" s="188"/>
      <c r="T68" s="188"/>
      <c r="U68" s="188"/>
      <c r="V68" s="188"/>
      <c r="W68" s="188"/>
      <c r="X68" s="188"/>
      <c r="Y68" s="188"/>
      <c r="Z68" s="188"/>
      <c r="AA68" s="188"/>
      <c r="AB68" s="188"/>
      <c r="AC68" s="188"/>
      <c r="AD68" s="188"/>
      <c r="AE68" s="188"/>
      <c r="AF68" s="188"/>
      <c r="AG68" s="188"/>
      <c r="AH68" s="188"/>
      <c r="AI68" s="188"/>
      <c r="AJ68" s="188"/>
      <c r="AK68" s="188"/>
      <c r="AL68" s="188"/>
      <c r="AM68" s="188"/>
      <c r="AN68" s="188"/>
      <c r="AO68" s="188"/>
      <c r="AP68" s="188"/>
      <c r="AQ68" s="188"/>
      <c r="AR68" s="188"/>
      <c r="AS68" s="188"/>
      <c r="AT68" s="188"/>
      <c r="AU68" s="188"/>
      <c r="AV68" s="188"/>
      <c r="AW68" s="188"/>
      <c r="AX68" s="188"/>
      <c r="AY68" s="188"/>
      <c r="AZ68" s="188"/>
      <c r="BA68" s="189"/>
    </row>
    <row r="69" spans="4:53" hidden="1" x14ac:dyDescent="0.2">
      <c r="I69" s="187"/>
      <c r="AP69" s="465"/>
      <c r="AQ69" s="188"/>
      <c r="AR69" s="188"/>
      <c r="AS69" s="188"/>
      <c r="AT69" s="188"/>
      <c r="AU69" s="188"/>
      <c r="AV69" s="188"/>
      <c r="AW69" s="188"/>
      <c r="AX69" s="188"/>
      <c r="AY69" s="188"/>
      <c r="AZ69" s="188"/>
      <c r="BA69" s="189"/>
    </row>
    <row r="70" spans="4:53" ht="26.25" hidden="1" thickBot="1" x14ac:dyDescent="0.25">
      <c r="I70" s="187"/>
      <c r="J70" s="188"/>
      <c r="K70" s="188"/>
      <c r="L70" s="188"/>
      <c r="M70" s="188"/>
      <c r="N70" s="188"/>
      <c r="O70" s="466" t="s">
        <v>551</v>
      </c>
      <c r="P70" s="467" t="e">
        <f>NA()</f>
        <v>#N/A</v>
      </c>
      <c r="Q70" s="468"/>
      <c r="R70" s="469"/>
      <c r="S70" s="188"/>
      <c r="T70" s="188"/>
      <c r="U70" s="470" t="e">
        <f>NA()</f>
        <v>#N/A</v>
      </c>
      <c r="V70" s="471"/>
      <c r="W70" s="471"/>
      <c r="X70" s="471"/>
      <c r="Y70" s="472"/>
      <c r="Z70" s="462"/>
      <c r="AA70" s="462"/>
      <c r="AB70" s="188"/>
      <c r="AC70" s="188"/>
      <c r="AD70" s="188"/>
      <c r="AE70" s="188"/>
      <c r="AF70" s="188"/>
      <c r="AG70" s="188"/>
      <c r="AH70" s="188"/>
      <c r="AI70" s="188"/>
      <c r="AJ70" s="473" t="e">
        <f>NA()</f>
        <v>#N/A</v>
      </c>
      <c r="AK70" s="474"/>
      <c r="AL70" s="188"/>
      <c r="AM70" s="188"/>
      <c r="AN70" s="188"/>
      <c r="AO70" s="188"/>
      <c r="AP70" s="188"/>
      <c r="AQ70" s="188"/>
      <c r="AR70" s="188"/>
      <c r="AS70" s="475"/>
      <c r="AT70" s="188"/>
      <c r="AU70" s="188"/>
      <c r="AV70" s="476" t="e">
        <f>NA()</f>
        <v>#N/A</v>
      </c>
      <c r="AW70" s="477"/>
      <c r="AX70" s="478"/>
      <c r="AY70" s="188"/>
      <c r="AZ70" s="188"/>
      <c r="BA70" s="189"/>
    </row>
    <row r="71" spans="4:53" ht="26.25" hidden="1" thickBot="1" x14ac:dyDescent="0.25">
      <c r="I71" s="187"/>
      <c r="J71" s="188"/>
      <c r="K71" s="188"/>
      <c r="L71" s="188"/>
      <c r="M71" s="188"/>
      <c r="N71" s="188"/>
      <c r="O71" s="188"/>
      <c r="P71" s="188"/>
      <c r="Q71" s="188"/>
      <c r="R71" s="188"/>
      <c r="S71" s="188"/>
      <c r="T71" s="188"/>
      <c r="U71" s="188"/>
      <c r="V71" s="188"/>
      <c r="W71" s="188"/>
      <c r="X71" s="188"/>
      <c r="Y71" s="188"/>
      <c r="Z71" s="188"/>
      <c r="AA71" s="188"/>
      <c r="AB71" s="188"/>
      <c r="AC71" s="188"/>
      <c r="AD71" s="188"/>
      <c r="AE71" s="188"/>
      <c r="AF71" s="188"/>
      <c r="AG71" s="188"/>
      <c r="AH71" s="188"/>
      <c r="AI71" s="188"/>
      <c r="AJ71" s="188"/>
      <c r="AK71" s="188"/>
      <c r="AL71" s="188"/>
      <c r="AM71" s="188"/>
      <c r="AN71" s="188"/>
      <c r="AO71" s="188"/>
      <c r="AP71" s="479"/>
      <c r="AQ71" s="188"/>
      <c r="AR71" s="188"/>
      <c r="AS71" s="188"/>
      <c r="AT71" s="188"/>
      <c r="AU71" s="188"/>
      <c r="AV71" s="188"/>
      <c r="AW71" s="188"/>
      <c r="AX71" s="188"/>
      <c r="AY71" s="188"/>
      <c r="AZ71" s="188"/>
      <c r="BA71" s="189"/>
    </row>
    <row r="72" spans="4:53" ht="26.25" hidden="1" thickBot="1" x14ac:dyDescent="0.25">
      <c r="I72" s="187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8"/>
      <c r="W72" s="188"/>
      <c r="X72" s="188"/>
      <c r="Y72" s="188"/>
      <c r="Z72" s="188"/>
      <c r="AA72" s="188"/>
      <c r="AB72" s="188"/>
      <c r="AC72" s="188"/>
      <c r="AD72" s="188"/>
      <c r="AE72" s="188"/>
      <c r="AF72" s="188"/>
      <c r="AG72" s="188"/>
      <c r="AH72" s="188"/>
      <c r="AI72" s="188"/>
      <c r="AJ72" s="188"/>
      <c r="AK72" s="188"/>
      <c r="AL72" s="480"/>
      <c r="AM72" s="480"/>
      <c r="AN72" s="480"/>
      <c r="AO72" s="480"/>
      <c r="AP72" s="188"/>
      <c r="AQ72" s="188"/>
      <c r="AR72" s="188"/>
      <c r="AS72" s="188"/>
      <c r="AT72" s="188"/>
      <c r="AU72" s="188"/>
      <c r="AV72" s="188"/>
      <c r="AW72" s="188"/>
      <c r="AX72" s="188"/>
      <c r="AY72" s="188"/>
      <c r="AZ72" s="188"/>
      <c r="BA72" s="189"/>
    </row>
    <row r="73" spans="4:53" hidden="1" x14ac:dyDescent="0.2">
      <c r="I73" s="187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8"/>
      <c r="U73" s="188"/>
      <c r="V73" s="188"/>
      <c r="W73" s="188"/>
      <c r="X73" s="188"/>
      <c r="Y73" s="188"/>
      <c r="Z73" s="188"/>
      <c r="AA73" s="188"/>
      <c r="AB73" s="188"/>
      <c r="AC73" s="188"/>
      <c r="AD73" s="188"/>
      <c r="AE73" s="188"/>
      <c r="AF73" s="188"/>
      <c r="AG73" s="188"/>
      <c r="AH73" s="188"/>
      <c r="AI73" s="188"/>
      <c r="AJ73" s="188"/>
      <c r="AK73" s="188"/>
      <c r="AL73" s="188"/>
      <c r="AM73" s="188"/>
      <c r="AN73" s="188"/>
      <c r="AO73" s="188"/>
      <c r="AP73" s="188"/>
      <c r="AQ73" s="188"/>
      <c r="AR73" s="188"/>
      <c r="AS73" s="188"/>
      <c r="AT73" s="188"/>
      <c r="AU73" s="188"/>
      <c r="AV73" s="188"/>
      <c r="AW73" s="188"/>
      <c r="AX73" s="188"/>
      <c r="AY73" s="188"/>
      <c r="AZ73" s="188"/>
      <c r="BA73" s="189"/>
    </row>
    <row r="74" spans="4:53" hidden="1" x14ac:dyDescent="0.2">
      <c r="I74" s="187"/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8"/>
      <c r="U74" s="188"/>
      <c r="V74" s="188"/>
      <c r="W74" s="188"/>
      <c r="X74" s="188"/>
      <c r="Y74" s="188"/>
      <c r="Z74" s="188"/>
      <c r="AA74" s="188"/>
      <c r="AB74" s="188"/>
      <c r="AC74" s="188"/>
      <c r="AD74" s="188"/>
      <c r="AE74" s="188"/>
      <c r="AF74" s="188"/>
      <c r="AG74" s="188"/>
      <c r="AH74" s="188"/>
      <c r="AI74" s="188"/>
      <c r="AJ74" s="188"/>
      <c r="AK74" s="188"/>
      <c r="AL74" s="188"/>
      <c r="AM74" s="188"/>
      <c r="AN74" s="188"/>
      <c r="AO74" s="188"/>
      <c r="AP74" s="188"/>
      <c r="AQ74" s="188"/>
      <c r="AR74" s="188"/>
      <c r="AS74" s="188"/>
      <c r="AT74" s="188"/>
      <c r="AU74" s="188"/>
      <c r="AV74" s="188"/>
      <c r="AW74" s="188"/>
      <c r="AX74" s="188"/>
      <c r="AY74" s="188"/>
      <c r="AZ74" s="188"/>
      <c r="BA74" s="189"/>
    </row>
    <row r="75" spans="4:53" x14ac:dyDescent="0.2">
      <c r="I75" s="187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8"/>
      <c r="V75" s="188"/>
      <c r="W75" s="188"/>
      <c r="X75" s="188"/>
      <c r="Y75" s="188"/>
      <c r="Z75" s="188"/>
      <c r="AA75" s="188"/>
      <c r="AB75" s="188"/>
      <c r="AC75" s="188"/>
      <c r="AD75" s="188"/>
      <c r="AE75" s="188"/>
      <c r="AF75" s="188"/>
      <c r="AG75" s="188"/>
      <c r="AH75" s="188"/>
      <c r="AI75" s="188"/>
      <c r="AJ75" s="188"/>
      <c r="AK75" s="188"/>
      <c r="AL75" s="188"/>
      <c r="AM75" s="188"/>
      <c r="AN75" s="188"/>
      <c r="AO75" s="188"/>
      <c r="AS75" s="188"/>
      <c r="AT75" s="188"/>
      <c r="AU75" s="188"/>
      <c r="AV75" s="188"/>
      <c r="AW75" s="188"/>
      <c r="AX75" s="188"/>
      <c r="AY75" s="188"/>
      <c r="AZ75" s="188"/>
      <c r="BA75" s="189"/>
    </row>
    <row r="76" spans="4:53" x14ac:dyDescent="0.2">
      <c r="AM76" s="481">
        <v>58864138.389999993</v>
      </c>
    </row>
    <row r="77" spans="4:53" x14ac:dyDescent="0.2">
      <c r="AM77" s="481">
        <f>AM76-AO63-AN63-AM63</f>
        <v>-33406204.43</v>
      </c>
    </row>
  </sheetData>
  <sheetProtection selectLockedCells="1" selectUnlockedCells="1"/>
  <mergeCells count="16">
    <mergeCell ref="AV7:AV9"/>
    <mergeCell ref="AY7:AY9"/>
    <mergeCell ref="AZ7:AZ9"/>
    <mergeCell ref="BA7:BA9"/>
    <mergeCell ref="J7:J9"/>
    <mergeCell ref="K7:K9"/>
    <mergeCell ref="L7:O8"/>
    <mergeCell ref="P7:R8"/>
    <mergeCell ref="U7:Y8"/>
    <mergeCell ref="AJ7:AS8"/>
    <mergeCell ref="I7:I9"/>
    <mergeCell ref="C6:C8"/>
    <mergeCell ref="E7:E9"/>
    <mergeCell ref="F7:F9"/>
    <mergeCell ref="G7:G9"/>
    <mergeCell ref="H7:H9"/>
  </mergeCells>
  <printOptions gridLines="1"/>
  <pageMargins left="0" right="0.23622047244094491" top="0.74803149606299213" bottom="0.74803149606299213" header="0.51181102362204722" footer="0.51181102362204722"/>
  <pageSetup paperSize="8" scale="22" firstPageNumber="0" fitToHeight="0" orientation="landscape" r:id="rId1"/>
  <headerFooter alignWithMargins="0">
    <oddHeader>&amp;R&amp;A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BA59"/>
  <sheetViews>
    <sheetView zoomScale="50" zoomScaleNormal="50" workbookViewId="0">
      <pane xSplit="10" ySplit="11" topLeftCell="X38" activePane="bottomRight" state="frozen"/>
      <selection activeCell="C26" sqref="C26"/>
      <selection pane="topRight" activeCell="C26" sqref="C26"/>
      <selection pane="bottomLeft" activeCell="C26" sqref="C26"/>
      <selection pane="bottomRight" activeCell="AM40" sqref="AM40"/>
    </sheetView>
  </sheetViews>
  <sheetFormatPr defaultColWidth="8" defaultRowHeight="12.75" x14ac:dyDescent="0.2"/>
  <cols>
    <col min="1" max="3" width="0" hidden="1" customWidth="1"/>
    <col min="4" max="4" width="16.140625" customWidth="1"/>
    <col min="5" max="8" width="0" hidden="1" customWidth="1"/>
    <col min="9" max="9" width="53.28515625" customWidth="1"/>
    <col min="10" max="10" width="36.5703125" customWidth="1"/>
    <col min="11" max="11" width="35" bestFit="1" customWidth="1"/>
    <col min="12" max="12" width="36.5703125" customWidth="1"/>
    <col min="13" max="13" width="36.7109375" customWidth="1"/>
    <col min="14" max="14" width="35.42578125" customWidth="1"/>
    <col min="15" max="15" width="31.28515625" customWidth="1"/>
    <col min="16" max="17" width="29" customWidth="1"/>
    <col min="18" max="18" width="31.28515625" customWidth="1"/>
    <col min="19" max="20" width="8" hidden="1" customWidth="1"/>
    <col min="21" max="22" width="16.7109375" customWidth="1"/>
    <col min="23" max="23" width="31.28515625" customWidth="1"/>
    <col min="24" max="24" width="17" customWidth="1"/>
    <col min="25" max="25" width="31.28515625" customWidth="1"/>
    <col min="26" max="26" width="29" hidden="1" customWidth="1"/>
    <col min="27" max="34" width="8" hidden="1" customWidth="1"/>
    <col min="35" max="35" width="33.5703125" customWidth="1"/>
    <col min="36" max="36" width="29.28515625" customWidth="1"/>
    <col min="37" max="37" width="27.140625" customWidth="1"/>
    <col min="38" max="38" width="29.28515625" bestFit="1" customWidth="1"/>
    <col min="39" max="39" width="27.5703125" customWidth="1"/>
    <col min="40" max="40" width="33.140625" bestFit="1" customWidth="1"/>
    <col min="41" max="41" width="32.5703125" customWidth="1"/>
    <col min="42" max="48" width="0" hidden="1" customWidth="1"/>
    <col min="49" max="49" width="36.42578125" customWidth="1"/>
    <col min="50" max="51" width="0" hidden="1" customWidth="1"/>
    <col min="52" max="52" width="36.42578125" customWidth="1"/>
    <col min="53" max="53" width="36.42578125" hidden="1" customWidth="1"/>
    <col min="245" max="247" width="0" hidden="1" customWidth="1"/>
    <col min="248" max="248" width="16.140625" customWidth="1"/>
    <col min="249" max="252" width="0" hidden="1" customWidth="1"/>
    <col min="253" max="253" width="53.28515625" customWidth="1"/>
    <col min="254" max="254" width="36.5703125" customWidth="1"/>
    <col min="255" max="255" width="35" bestFit="1" customWidth="1"/>
    <col min="256" max="256" width="36.5703125" customWidth="1"/>
    <col min="257" max="257" width="36.7109375" customWidth="1"/>
    <col min="258" max="258" width="35.42578125" customWidth="1"/>
    <col min="259" max="259" width="31.28515625" customWidth="1"/>
    <col min="260" max="261" width="29" customWidth="1"/>
    <col min="262" max="262" width="31.28515625" customWidth="1"/>
    <col min="263" max="264" width="0" hidden="1" customWidth="1"/>
    <col min="265" max="266" width="16.7109375" customWidth="1"/>
    <col min="267" max="267" width="31.28515625" customWidth="1"/>
    <col min="268" max="268" width="17" customWidth="1"/>
    <col min="269" max="269" width="31.28515625" customWidth="1"/>
    <col min="270" max="278" width="0" hidden="1" customWidth="1"/>
    <col min="279" max="279" width="16.7109375" customWidth="1"/>
    <col min="280" max="280" width="17.85546875" customWidth="1"/>
    <col min="281" max="281" width="27.140625" customWidth="1"/>
    <col min="282" max="282" width="47.140625" bestFit="1" customWidth="1"/>
    <col min="283" max="283" width="27.5703125" customWidth="1"/>
    <col min="284" max="284" width="33.140625" bestFit="1" customWidth="1"/>
    <col min="285" max="285" width="32.5703125" customWidth="1"/>
    <col min="286" max="292" width="0" hidden="1" customWidth="1"/>
    <col min="293" max="293" width="36.42578125" customWidth="1"/>
    <col min="294" max="295" width="0" hidden="1" customWidth="1"/>
    <col min="296" max="296" width="36.42578125" customWidth="1"/>
    <col min="297" max="303" width="0" hidden="1" customWidth="1"/>
    <col min="304" max="304" width="11.5703125" customWidth="1"/>
    <col min="501" max="503" width="0" hidden="1" customWidth="1"/>
    <col min="504" max="504" width="16.140625" customWidth="1"/>
    <col min="505" max="508" width="0" hidden="1" customWidth="1"/>
    <col min="509" max="509" width="53.28515625" customWidth="1"/>
    <col min="510" max="510" width="36.5703125" customWidth="1"/>
    <col min="511" max="511" width="35" bestFit="1" customWidth="1"/>
    <col min="512" max="512" width="36.5703125" customWidth="1"/>
    <col min="513" max="513" width="36.7109375" customWidth="1"/>
    <col min="514" max="514" width="35.42578125" customWidth="1"/>
    <col min="515" max="515" width="31.28515625" customWidth="1"/>
    <col min="516" max="517" width="29" customWidth="1"/>
    <col min="518" max="518" width="31.28515625" customWidth="1"/>
    <col min="519" max="520" width="0" hidden="1" customWidth="1"/>
    <col min="521" max="522" width="16.7109375" customWidth="1"/>
    <col min="523" max="523" width="31.28515625" customWidth="1"/>
    <col min="524" max="524" width="17" customWidth="1"/>
    <col min="525" max="525" width="31.28515625" customWidth="1"/>
    <col min="526" max="534" width="0" hidden="1" customWidth="1"/>
    <col min="535" max="535" width="16.7109375" customWidth="1"/>
    <col min="536" max="536" width="17.85546875" customWidth="1"/>
    <col min="537" max="537" width="27.140625" customWidth="1"/>
    <col min="538" max="538" width="47.140625" bestFit="1" customWidth="1"/>
    <col min="539" max="539" width="27.5703125" customWidth="1"/>
    <col min="540" max="540" width="33.140625" bestFit="1" customWidth="1"/>
    <col min="541" max="541" width="32.5703125" customWidth="1"/>
    <col min="542" max="548" width="0" hidden="1" customWidth="1"/>
    <col min="549" max="549" width="36.42578125" customWidth="1"/>
    <col min="550" max="551" width="0" hidden="1" customWidth="1"/>
    <col min="552" max="552" width="36.42578125" customWidth="1"/>
    <col min="553" max="559" width="0" hidden="1" customWidth="1"/>
    <col min="560" max="560" width="11.5703125" customWidth="1"/>
    <col min="757" max="759" width="0" hidden="1" customWidth="1"/>
    <col min="760" max="760" width="16.140625" customWidth="1"/>
    <col min="761" max="764" width="0" hidden="1" customWidth="1"/>
    <col min="765" max="765" width="53.28515625" customWidth="1"/>
    <col min="766" max="766" width="36.5703125" customWidth="1"/>
    <col min="767" max="767" width="35" bestFit="1" customWidth="1"/>
    <col min="768" max="768" width="36.5703125" customWidth="1"/>
    <col min="769" max="769" width="36.7109375" customWidth="1"/>
    <col min="770" max="770" width="35.42578125" customWidth="1"/>
    <col min="771" max="771" width="31.28515625" customWidth="1"/>
    <col min="772" max="773" width="29" customWidth="1"/>
    <col min="774" max="774" width="31.28515625" customWidth="1"/>
    <col min="775" max="776" width="0" hidden="1" customWidth="1"/>
    <col min="777" max="778" width="16.7109375" customWidth="1"/>
    <col min="779" max="779" width="31.28515625" customWidth="1"/>
    <col min="780" max="780" width="17" customWidth="1"/>
    <col min="781" max="781" width="31.28515625" customWidth="1"/>
    <col min="782" max="790" width="0" hidden="1" customWidth="1"/>
    <col min="791" max="791" width="16.7109375" customWidth="1"/>
    <col min="792" max="792" width="17.85546875" customWidth="1"/>
    <col min="793" max="793" width="27.140625" customWidth="1"/>
    <col min="794" max="794" width="47.140625" bestFit="1" customWidth="1"/>
    <col min="795" max="795" width="27.5703125" customWidth="1"/>
    <col min="796" max="796" width="33.140625" bestFit="1" customWidth="1"/>
    <col min="797" max="797" width="32.5703125" customWidth="1"/>
    <col min="798" max="804" width="0" hidden="1" customWidth="1"/>
    <col min="805" max="805" width="36.42578125" customWidth="1"/>
    <col min="806" max="807" width="0" hidden="1" customWidth="1"/>
    <col min="808" max="808" width="36.42578125" customWidth="1"/>
    <col min="809" max="815" width="0" hidden="1" customWidth="1"/>
    <col min="816" max="816" width="11.5703125" customWidth="1"/>
    <col min="1013" max="1015" width="0" hidden="1" customWidth="1"/>
    <col min="1016" max="1016" width="16.140625" customWidth="1"/>
    <col min="1017" max="1020" width="0" hidden="1" customWidth="1"/>
    <col min="1021" max="1021" width="53.28515625" customWidth="1"/>
    <col min="1022" max="1022" width="36.5703125" customWidth="1"/>
    <col min="1023" max="1023" width="35" bestFit="1" customWidth="1"/>
    <col min="1024" max="1024" width="36.5703125" customWidth="1"/>
    <col min="1025" max="1025" width="36.7109375" customWidth="1"/>
    <col min="1026" max="1026" width="35.42578125" customWidth="1"/>
    <col min="1027" max="1027" width="31.28515625" customWidth="1"/>
    <col min="1028" max="1029" width="29" customWidth="1"/>
    <col min="1030" max="1030" width="31.28515625" customWidth="1"/>
    <col min="1031" max="1032" width="0" hidden="1" customWidth="1"/>
    <col min="1033" max="1034" width="16.7109375" customWidth="1"/>
    <col min="1035" max="1035" width="31.28515625" customWidth="1"/>
    <col min="1036" max="1036" width="17" customWidth="1"/>
    <col min="1037" max="1037" width="31.28515625" customWidth="1"/>
    <col min="1038" max="1046" width="0" hidden="1" customWidth="1"/>
    <col min="1047" max="1047" width="16.7109375" customWidth="1"/>
    <col min="1048" max="1048" width="17.85546875" customWidth="1"/>
    <col min="1049" max="1049" width="27.140625" customWidth="1"/>
    <col min="1050" max="1050" width="47.140625" bestFit="1" customWidth="1"/>
    <col min="1051" max="1051" width="27.5703125" customWidth="1"/>
    <col min="1052" max="1052" width="33.140625" bestFit="1" customWidth="1"/>
    <col min="1053" max="1053" width="32.5703125" customWidth="1"/>
    <col min="1054" max="1060" width="0" hidden="1" customWidth="1"/>
    <col min="1061" max="1061" width="36.42578125" customWidth="1"/>
    <col min="1062" max="1063" width="0" hidden="1" customWidth="1"/>
    <col min="1064" max="1064" width="36.42578125" customWidth="1"/>
    <col min="1065" max="1071" width="0" hidden="1" customWidth="1"/>
    <col min="1072" max="1072" width="11.5703125" customWidth="1"/>
    <col min="1269" max="1271" width="0" hidden="1" customWidth="1"/>
    <col min="1272" max="1272" width="16.140625" customWidth="1"/>
    <col min="1273" max="1276" width="0" hidden="1" customWidth="1"/>
    <col min="1277" max="1277" width="53.28515625" customWidth="1"/>
    <col min="1278" max="1278" width="36.5703125" customWidth="1"/>
    <col min="1279" max="1279" width="35" bestFit="1" customWidth="1"/>
    <col min="1280" max="1280" width="36.5703125" customWidth="1"/>
    <col min="1281" max="1281" width="36.7109375" customWidth="1"/>
    <col min="1282" max="1282" width="35.42578125" customWidth="1"/>
    <col min="1283" max="1283" width="31.28515625" customWidth="1"/>
    <col min="1284" max="1285" width="29" customWidth="1"/>
    <col min="1286" max="1286" width="31.28515625" customWidth="1"/>
    <col min="1287" max="1288" width="0" hidden="1" customWidth="1"/>
    <col min="1289" max="1290" width="16.7109375" customWidth="1"/>
    <col min="1291" max="1291" width="31.28515625" customWidth="1"/>
    <col min="1292" max="1292" width="17" customWidth="1"/>
    <col min="1293" max="1293" width="31.28515625" customWidth="1"/>
    <col min="1294" max="1302" width="0" hidden="1" customWidth="1"/>
    <col min="1303" max="1303" width="16.7109375" customWidth="1"/>
    <col min="1304" max="1304" width="17.85546875" customWidth="1"/>
    <col min="1305" max="1305" width="27.140625" customWidth="1"/>
    <col min="1306" max="1306" width="47.140625" bestFit="1" customWidth="1"/>
    <col min="1307" max="1307" width="27.5703125" customWidth="1"/>
    <col min="1308" max="1308" width="33.140625" bestFit="1" customWidth="1"/>
    <col min="1309" max="1309" width="32.5703125" customWidth="1"/>
    <col min="1310" max="1316" width="0" hidden="1" customWidth="1"/>
    <col min="1317" max="1317" width="36.42578125" customWidth="1"/>
    <col min="1318" max="1319" width="0" hidden="1" customWidth="1"/>
    <col min="1320" max="1320" width="36.42578125" customWidth="1"/>
    <col min="1321" max="1327" width="0" hidden="1" customWidth="1"/>
    <col min="1328" max="1328" width="11.5703125" customWidth="1"/>
    <col min="1525" max="1527" width="0" hidden="1" customWidth="1"/>
    <col min="1528" max="1528" width="16.140625" customWidth="1"/>
    <col min="1529" max="1532" width="0" hidden="1" customWidth="1"/>
    <col min="1533" max="1533" width="53.28515625" customWidth="1"/>
    <col min="1534" max="1534" width="36.5703125" customWidth="1"/>
    <col min="1535" max="1535" width="35" bestFit="1" customWidth="1"/>
    <col min="1536" max="1536" width="36.5703125" customWidth="1"/>
    <col min="1537" max="1537" width="36.7109375" customWidth="1"/>
    <col min="1538" max="1538" width="35.42578125" customWidth="1"/>
    <col min="1539" max="1539" width="31.28515625" customWidth="1"/>
    <col min="1540" max="1541" width="29" customWidth="1"/>
    <col min="1542" max="1542" width="31.28515625" customWidth="1"/>
    <col min="1543" max="1544" width="0" hidden="1" customWidth="1"/>
    <col min="1545" max="1546" width="16.7109375" customWidth="1"/>
    <col min="1547" max="1547" width="31.28515625" customWidth="1"/>
    <col min="1548" max="1548" width="17" customWidth="1"/>
    <col min="1549" max="1549" width="31.28515625" customWidth="1"/>
    <col min="1550" max="1558" width="0" hidden="1" customWidth="1"/>
    <col min="1559" max="1559" width="16.7109375" customWidth="1"/>
    <col min="1560" max="1560" width="17.85546875" customWidth="1"/>
    <col min="1561" max="1561" width="27.140625" customWidth="1"/>
    <col min="1562" max="1562" width="47.140625" bestFit="1" customWidth="1"/>
    <col min="1563" max="1563" width="27.5703125" customWidth="1"/>
    <col min="1564" max="1564" width="33.140625" bestFit="1" customWidth="1"/>
    <col min="1565" max="1565" width="32.5703125" customWidth="1"/>
    <col min="1566" max="1572" width="0" hidden="1" customWidth="1"/>
    <col min="1573" max="1573" width="36.42578125" customWidth="1"/>
    <col min="1574" max="1575" width="0" hidden="1" customWidth="1"/>
    <col min="1576" max="1576" width="36.42578125" customWidth="1"/>
    <col min="1577" max="1583" width="0" hidden="1" customWidth="1"/>
    <col min="1584" max="1584" width="11.5703125" customWidth="1"/>
    <col min="1781" max="1783" width="0" hidden="1" customWidth="1"/>
    <col min="1784" max="1784" width="16.140625" customWidth="1"/>
    <col min="1785" max="1788" width="0" hidden="1" customWidth="1"/>
    <col min="1789" max="1789" width="53.28515625" customWidth="1"/>
    <col min="1790" max="1790" width="36.5703125" customWidth="1"/>
    <col min="1791" max="1791" width="35" bestFit="1" customWidth="1"/>
    <col min="1792" max="1792" width="36.5703125" customWidth="1"/>
    <col min="1793" max="1793" width="36.7109375" customWidth="1"/>
    <col min="1794" max="1794" width="35.42578125" customWidth="1"/>
    <col min="1795" max="1795" width="31.28515625" customWidth="1"/>
    <col min="1796" max="1797" width="29" customWidth="1"/>
    <col min="1798" max="1798" width="31.28515625" customWidth="1"/>
    <col min="1799" max="1800" width="0" hidden="1" customWidth="1"/>
    <col min="1801" max="1802" width="16.7109375" customWidth="1"/>
    <col min="1803" max="1803" width="31.28515625" customWidth="1"/>
    <col min="1804" max="1804" width="17" customWidth="1"/>
    <col min="1805" max="1805" width="31.28515625" customWidth="1"/>
    <col min="1806" max="1814" width="0" hidden="1" customWidth="1"/>
    <col min="1815" max="1815" width="16.7109375" customWidth="1"/>
    <col min="1816" max="1816" width="17.85546875" customWidth="1"/>
    <col min="1817" max="1817" width="27.140625" customWidth="1"/>
    <col min="1818" max="1818" width="47.140625" bestFit="1" customWidth="1"/>
    <col min="1819" max="1819" width="27.5703125" customWidth="1"/>
    <col min="1820" max="1820" width="33.140625" bestFit="1" customWidth="1"/>
    <col min="1821" max="1821" width="32.5703125" customWidth="1"/>
    <col min="1822" max="1828" width="0" hidden="1" customWidth="1"/>
    <col min="1829" max="1829" width="36.42578125" customWidth="1"/>
    <col min="1830" max="1831" width="0" hidden="1" customWidth="1"/>
    <col min="1832" max="1832" width="36.42578125" customWidth="1"/>
    <col min="1833" max="1839" width="0" hidden="1" customWidth="1"/>
    <col min="1840" max="1840" width="11.5703125" customWidth="1"/>
    <col min="2037" max="2039" width="0" hidden="1" customWidth="1"/>
    <col min="2040" max="2040" width="16.140625" customWidth="1"/>
    <col min="2041" max="2044" width="0" hidden="1" customWidth="1"/>
    <col min="2045" max="2045" width="53.28515625" customWidth="1"/>
    <col min="2046" max="2046" width="36.5703125" customWidth="1"/>
    <col min="2047" max="2047" width="35" bestFit="1" customWidth="1"/>
    <col min="2048" max="2048" width="36.5703125" customWidth="1"/>
    <col min="2049" max="2049" width="36.7109375" customWidth="1"/>
    <col min="2050" max="2050" width="35.42578125" customWidth="1"/>
    <col min="2051" max="2051" width="31.28515625" customWidth="1"/>
    <col min="2052" max="2053" width="29" customWidth="1"/>
    <col min="2054" max="2054" width="31.28515625" customWidth="1"/>
    <col min="2055" max="2056" width="0" hidden="1" customWidth="1"/>
    <col min="2057" max="2058" width="16.7109375" customWidth="1"/>
    <col min="2059" max="2059" width="31.28515625" customWidth="1"/>
    <col min="2060" max="2060" width="17" customWidth="1"/>
    <col min="2061" max="2061" width="31.28515625" customWidth="1"/>
    <col min="2062" max="2070" width="0" hidden="1" customWidth="1"/>
    <col min="2071" max="2071" width="16.7109375" customWidth="1"/>
    <col min="2072" max="2072" width="17.85546875" customWidth="1"/>
    <col min="2073" max="2073" width="27.140625" customWidth="1"/>
    <col min="2074" max="2074" width="47.140625" bestFit="1" customWidth="1"/>
    <col min="2075" max="2075" width="27.5703125" customWidth="1"/>
    <col min="2076" max="2076" width="33.140625" bestFit="1" customWidth="1"/>
    <col min="2077" max="2077" width="32.5703125" customWidth="1"/>
    <col min="2078" max="2084" width="0" hidden="1" customWidth="1"/>
    <col min="2085" max="2085" width="36.42578125" customWidth="1"/>
    <col min="2086" max="2087" width="0" hidden="1" customWidth="1"/>
    <col min="2088" max="2088" width="36.42578125" customWidth="1"/>
    <col min="2089" max="2095" width="0" hidden="1" customWidth="1"/>
    <col min="2096" max="2096" width="11.5703125" customWidth="1"/>
    <col min="2293" max="2295" width="0" hidden="1" customWidth="1"/>
    <col min="2296" max="2296" width="16.140625" customWidth="1"/>
    <col min="2297" max="2300" width="0" hidden="1" customWidth="1"/>
    <col min="2301" max="2301" width="53.28515625" customWidth="1"/>
    <col min="2302" max="2302" width="36.5703125" customWidth="1"/>
    <col min="2303" max="2303" width="35" bestFit="1" customWidth="1"/>
    <col min="2304" max="2304" width="36.5703125" customWidth="1"/>
    <col min="2305" max="2305" width="36.7109375" customWidth="1"/>
    <col min="2306" max="2306" width="35.42578125" customWidth="1"/>
    <col min="2307" max="2307" width="31.28515625" customWidth="1"/>
    <col min="2308" max="2309" width="29" customWidth="1"/>
    <col min="2310" max="2310" width="31.28515625" customWidth="1"/>
    <col min="2311" max="2312" width="0" hidden="1" customWidth="1"/>
    <col min="2313" max="2314" width="16.7109375" customWidth="1"/>
    <col min="2315" max="2315" width="31.28515625" customWidth="1"/>
    <col min="2316" max="2316" width="17" customWidth="1"/>
    <col min="2317" max="2317" width="31.28515625" customWidth="1"/>
    <col min="2318" max="2326" width="0" hidden="1" customWidth="1"/>
    <col min="2327" max="2327" width="16.7109375" customWidth="1"/>
    <col min="2328" max="2328" width="17.85546875" customWidth="1"/>
    <col min="2329" max="2329" width="27.140625" customWidth="1"/>
    <col min="2330" max="2330" width="47.140625" bestFit="1" customWidth="1"/>
    <col min="2331" max="2331" width="27.5703125" customWidth="1"/>
    <col min="2332" max="2332" width="33.140625" bestFit="1" customWidth="1"/>
    <col min="2333" max="2333" width="32.5703125" customWidth="1"/>
    <col min="2334" max="2340" width="0" hidden="1" customWidth="1"/>
    <col min="2341" max="2341" width="36.42578125" customWidth="1"/>
    <col min="2342" max="2343" width="0" hidden="1" customWidth="1"/>
    <col min="2344" max="2344" width="36.42578125" customWidth="1"/>
    <col min="2345" max="2351" width="0" hidden="1" customWidth="1"/>
    <col min="2352" max="2352" width="11.5703125" customWidth="1"/>
    <col min="2549" max="2551" width="0" hidden="1" customWidth="1"/>
    <col min="2552" max="2552" width="16.140625" customWidth="1"/>
    <col min="2553" max="2556" width="0" hidden="1" customWidth="1"/>
    <col min="2557" max="2557" width="53.28515625" customWidth="1"/>
    <col min="2558" max="2558" width="36.5703125" customWidth="1"/>
    <col min="2559" max="2559" width="35" bestFit="1" customWidth="1"/>
    <col min="2560" max="2560" width="36.5703125" customWidth="1"/>
    <col min="2561" max="2561" width="36.7109375" customWidth="1"/>
    <col min="2562" max="2562" width="35.42578125" customWidth="1"/>
    <col min="2563" max="2563" width="31.28515625" customWidth="1"/>
    <col min="2564" max="2565" width="29" customWidth="1"/>
    <col min="2566" max="2566" width="31.28515625" customWidth="1"/>
    <col min="2567" max="2568" width="0" hidden="1" customWidth="1"/>
    <col min="2569" max="2570" width="16.7109375" customWidth="1"/>
    <col min="2571" max="2571" width="31.28515625" customWidth="1"/>
    <col min="2572" max="2572" width="17" customWidth="1"/>
    <col min="2573" max="2573" width="31.28515625" customWidth="1"/>
    <col min="2574" max="2582" width="0" hidden="1" customWidth="1"/>
    <col min="2583" max="2583" width="16.7109375" customWidth="1"/>
    <col min="2584" max="2584" width="17.85546875" customWidth="1"/>
    <col min="2585" max="2585" width="27.140625" customWidth="1"/>
    <col min="2586" max="2586" width="47.140625" bestFit="1" customWidth="1"/>
    <col min="2587" max="2587" width="27.5703125" customWidth="1"/>
    <col min="2588" max="2588" width="33.140625" bestFit="1" customWidth="1"/>
    <col min="2589" max="2589" width="32.5703125" customWidth="1"/>
    <col min="2590" max="2596" width="0" hidden="1" customWidth="1"/>
    <col min="2597" max="2597" width="36.42578125" customWidth="1"/>
    <col min="2598" max="2599" width="0" hidden="1" customWidth="1"/>
    <col min="2600" max="2600" width="36.42578125" customWidth="1"/>
    <col min="2601" max="2607" width="0" hidden="1" customWidth="1"/>
    <col min="2608" max="2608" width="11.5703125" customWidth="1"/>
    <col min="2805" max="2807" width="0" hidden="1" customWidth="1"/>
    <col min="2808" max="2808" width="16.140625" customWidth="1"/>
    <col min="2809" max="2812" width="0" hidden="1" customWidth="1"/>
    <col min="2813" max="2813" width="53.28515625" customWidth="1"/>
    <col min="2814" max="2814" width="36.5703125" customWidth="1"/>
    <col min="2815" max="2815" width="35" bestFit="1" customWidth="1"/>
    <col min="2816" max="2816" width="36.5703125" customWidth="1"/>
    <col min="2817" max="2817" width="36.7109375" customWidth="1"/>
    <col min="2818" max="2818" width="35.42578125" customWidth="1"/>
    <col min="2819" max="2819" width="31.28515625" customWidth="1"/>
    <col min="2820" max="2821" width="29" customWidth="1"/>
    <col min="2822" max="2822" width="31.28515625" customWidth="1"/>
    <col min="2823" max="2824" width="0" hidden="1" customWidth="1"/>
    <col min="2825" max="2826" width="16.7109375" customWidth="1"/>
    <col min="2827" max="2827" width="31.28515625" customWidth="1"/>
    <col min="2828" max="2828" width="17" customWidth="1"/>
    <col min="2829" max="2829" width="31.28515625" customWidth="1"/>
    <col min="2830" max="2838" width="0" hidden="1" customWidth="1"/>
    <col min="2839" max="2839" width="16.7109375" customWidth="1"/>
    <col min="2840" max="2840" width="17.85546875" customWidth="1"/>
    <col min="2841" max="2841" width="27.140625" customWidth="1"/>
    <col min="2842" max="2842" width="47.140625" bestFit="1" customWidth="1"/>
    <col min="2843" max="2843" width="27.5703125" customWidth="1"/>
    <col min="2844" max="2844" width="33.140625" bestFit="1" customWidth="1"/>
    <col min="2845" max="2845" width="32.5703125" customWidth="1"/>
    <col min="2846" max="2852" width="0" hidden="1" customWidth="1"/>
    <col min="2853" max="2853" width="36.42578125" customWidth="1"/>
    <col min="2854" max="2855" width="0" hidden="1" customWidth="1"/>
    <col min="2856" max="2856" width="36.42578125" customWidth="1"/>
    <col min="2857" max="2863" width="0" hidden="1" customWidth="1"/>
    <col min="2864" max="2864" width="11.5703125" customWidth="1"/>
    <col min="3061" max="3063" width="0" hidden="1" customWidth="1"/>
    <col min="3064" max="3064" width="16.140625" customWidth="1"/>
    <col min="3065" max="3068" width="0" hidden="1" customWidth="1"/>
    <col min="3069" max="3069" width="53.28515625" customWidth="1"/>
    <col min="3070" max="3070" width="36.5703125" customWidth="1"/>
    <col min="3071" max="3071" width="35" bestFit="1" customWidth="1"/>
    <col min="3072" max="3072" width="36.5703125" customWidth="1"/>
    <col min="3073" max="3073" width="36.7109375" customWidth="1"/>
    <col min="3074" max="3074" width="35.42578125" customWidth="1"/>
    <col min="3075" max="3075" width="31.28515625" customWidth="1"/>
    <col min="3076" max="3077" width="29" customWidth="1"/>
    <col min="3078" max="3078" width="31.28515625" customWidth="1"/>
    <col min="3079" max="3080" width="0" hidden="1" customWidth="1"/>
    <col min="3081" max="3082" width="16.7109375" customWidth="1"/>
    <col min="3083" max="3083" width="31.28515625" customWidth="1"/>
    <col min="3084" max="3084" width="17" customWidth="1"/>
    <col min="3085" max="3085" width="31.28515625" customWidth="1"/>
    <col min="3086" max="3094" width="0" hidden="1" customWidth="1"/>
    <col min="3095" max="3095" width="16.7109375" customWidth="1"/>
    <col min="3096" max="3096" width="17.85546875" customWidth="1"/>
    <col min="3097" max="3097" width="27.140625" customWidth="1"/>
    <col min="3098" max="3098" width="47.140625" bestFit="1" customWidth="1"/>
    <col min="3099" max="3099" width="27.5703125" customWidth="1"/>
    <col min="3100" max="3100" width="33.140625" bestFit="1" customWidth="1"/>
    <col min="3101" max="3101" width="32.5703125" customWidth="1"/>
    <col min="3102" max="3108" width="0" hidden="1" customWidth="1"/>
    <col min="3109" max="3109" width="36.42578125" customWidth="1"/>
    <col min="3110" max="3111" width="0" hidden="1" customWidth="1"/>
    <col min="3112" max="3112" width="36.42578125" customWidth="1"/>
    <col min="3113" max="3119" width="0" hidden="1" customWidth="1"/>
    <col min="3120" max="3120" width="11.5703125" customWidth="1"/>
    <col min="3317" max="3319" width="0" hidden="1" customWidth="1"/>
    <col min="3320" max="3320" width="16.140625" customWidth="1"/>
    <col min="3321" max="3324" width="0" hidden="1" customWidth="1"/>
    <col min="3325" max="3325" width="53.28515625" customWidth="1"/>
    <col min="3326" max="3326" width="36.5703125" customWidth="1"/>
    <col min="3327" max="3327" width="35" bestFit="1" customWidth="1"/>
    <col min="3328" max="3328" width="36.5703125" customWidth="1"/>
    <col min="3329" max="3329" width="36.7109375" customWidth="1"/>
    <col min="3330" max="3330" width="35.42578125" customWidth="1"/>
    <col min="3331" max="3331" width="31.28515625" customWidth="1"/>
    <col min="3332" max="3333" width="29" customWidth="1"/>
    <col min="3334" max="3334" width="31.28515625" customWidth="1"/>
    <col min="3335" max="3336" width="0" hidden="1" customWidth="1"/>
    <col min="3337" max="3338" width="16.7109375" customWidth="1"/>
    <col min="3339" max="3339" width="31.28515625" customWidth="1"/>
    <col min="3340" max="3340" width="17" customWidth="1"/>
    <col min="3341" max="3341" width="31.28515625" customWidth="1"/>
    <col min="3342" max="3350" width="0" hidden="1" customWidth="1"/>
    <col min="3351" max="3351" width="16.7109375" customWidth="1"/>
    <col min="3352" max="3352" width="17.85546875" customWidth="1"/>
    <col min="3353" max="3353" width="27.140625" customWidth="1"/>
    <col min="3354" max="3354" width="47.140625" bestFit="1" customWidth="1"/>
    <col min="3355" max="3355" width="27.5703125" customWidth="1"/>
    <col min="3356" max="3356" width="33.140625" bestFit="1" customWidth="1"/>
    <col min="3357" max="3357" width="32.5703125" customWidth="1"/>
    <col min="3358" max="3364" width="0" hidden="1" customWidth="1"/>
    <col min="3365" max="3365" width="36.42578125" customWidth="1"/>
    <col min="3366" max="3367" width="0" hidden="1" customWidth="1"/>
    <col min="3368" max="3368" width="36.42578125" customWidth="1"/>
    <col min="3369" max="3375" width="0" hidden="1" customWidth="1"/>
    <col min="3376" max="3376" width="11.5703125" customWidth="1"/>
    <col min="3573" max="3575" width="0" hidden="1" customWidth="1"/>
    <col min="3576" max="3576" width="16.140625" customWidth="1"/>
    <col min="3577" max="3580" width="0" hidden="1" customWidth="1"/>
    <col min="3581" max="3581" width="53.28515625" customWidth="1"/>
    <col min="3582" max="3582" width="36.5703125" customWidth="1"/>
    <col min="3583" max="3583" width="35" bestFit="1" customWidth="1"/>
    <col min="3584" max="3584" width="36.5703125" customWidth="1"/>
    <col min="3585" max="3585" width="36.7109375" customWidth="1"/>
    <col min="3586" max="3586" width="35.42578125" customWidth="1"/>
    <col min="3587" max="3587" width="31.28515625" customWidth="1"/>
    <col min="3588" max="3589" width="29" customWidth="1"/>
    <col min="3590" max="3590" width="31.28515625" customWidth="1"/>
    <col min="3591" max="3592" width="0" hidden="1" customWidth="1"/>
    <col min="3593" max="3594" width="16.7109375" customWidth="1"/>
    <col min="3595" max="3595" width="31.28515625" customWidth="1"/>
    <col min="3596" max="3596" width="17" customWidth="1"/>
    <col min="3597" max="3597" width="31.28515625" customWidth="1"/>
    <col min="3598" max="3606" width="0" hidden="1" customWidth="1"/>
    <col min="3607" max="3607" width="16.7109375" customWidth="1"/>
    <col min="3608" max="3608" width="17.85546875" customWidth="1"/>
    <col min="3609" max="3609" width="27.140625" customWidth="1"/>
    <col min="3610" max="3610" width="47.140625" bestFit="1" customWidth="1"/>
    <col min="3611" max="3611" width="27.5703125" customWidth="1"/>
    <col min="3612" max="3612" width="33.140625" bestFit="1" customWidth="1"/>
    <col min="3613" max="3613" width="32.5703125" customWidth="1"/>
    <col min="3614" max="3620" width="0" hidden="1" customWidth="1"/>
    <col min="3621" max="3621" width="36.42578125" customWidth="1"/>
    <col min="3622" max="3623" width="0" hidden="1" customWidth="1"/>
    <col min="3624" max="3624" width="36.42578125" customWidth="1"/>
    <col min="3625" max="3631" width="0" hidden="1" customWidth="1"/>
    <col min="3632" max="3632" width="11.5703125" customWidth="1"/>
    <col min="3829" max="3831" width="0" hidden="1" customWidth="1"/>
    <col min="3832" max="3832" width="16.140625" customWidth="1"/>
    <col min="3833" max="3836" width="0" hidden="1" customWidth="1"/>
    <col min="3837" max="3837" width="53.28515625" customWidth="1"/>
    <col min="3838" max="3838" width="36.5703125" customWidth="1"/>
    <col min="3839" max="3839" width="35" bestFit="1" customWidth="1"/>
    <col min="3840" max="3840" width="36.5703125" customWidth="1"/>
    <col min="3841" max="3841" width="36.7109375" customWidth="1"/>
    <col min="3842" max="3842" width="35.42578125" customWidth="1"/>
    <col min="3843" max="3843" width="31.28515625" customWidth="1"/>
    <col min="3844" max="3845" width="29" customWidth="1"/>
    <col min="3846" max="3846" width="31.28515625" customWidth="1"/>
    <col min="3847" max="3848" width="0" hidden="1" customWidth="1"/>
    <col min="3849" max="3850" width="16.7109375" customWidth="1"/>
    <col min="3851" max="3851" width="31.28515625" customWidth="1"/>
    <col min="3852" max="3852" width="17" customWidth="1"/>
    <col min="3853" max="3853" width="31.28515625" customWidth="1"/>
    <col min="3854" max="3862" width="0" hidden="1" customWidth="1"/>
    <col min="3863" max="3863" width="16.7109375" customWidth="1"/>
    <col min="3864" max="3864" width="17.85546875" customWidth="1"/>
    <col min="3865" max="3865" width="27.140625" customWidth="1"/>
    <col min="3866" max="3866" width="47.140625" bestFit="1" customWidth="1"/>
    <col min="3867" max="3867" width="27.5703125" customWidth="1"/>
    <col min="3868" max="3868" width="33.140625" bestFit="1" customWidth="1"/>
    <col min="3869" max="3869" width="32.5703125" customWidth="1"/>
    <col min="3870" max="3876" width="0" hidden="1" customWidth="1"/>
    <col min="3877" max="3877" width="36.42578125" customWidth="1"/>
    <col min="3878" max="3879" width="0" hidden="1" customWidth="1"/>
    <col min="3880" max="3880" width="36.42578125" customWidth="1"/>
    <col min="3881" max="3887" width="0" hidden="1" customWidth="1"/>
    <col min="3888" max="3888" width="11.5703125" customWidth="1"/>
    <col min="4085" max="4087" width="0" hidden="1" customWidth="1"/>
    <col min="4088" max="4088" width="16.140625" customWidth="1"/>
    <col min="4089" max="4092" width="0" hidden="1" customWidth="1"/>
    <col min="4093" max="4093" width="53.28515625" customWidth="1"/>
    <col min="4094" max="4094" width="36.5703125" customWidth="1"/>
    <col min="4095" max="4095" width="35" bestFit="1" customWidth="1"/>
    <col min="4096" max="4096" width="36.5703125" customWidth="1"/>
    <col min="4097" max="4097" width="36.7109375" customWidth="1"/>
    <col min="4098" max="4098" width="35.42578125" customWidth="1"/>
    <col min="4099" max="4099" width="31.28515625" customWidth="1"/>
    <col min="4100" max="4101" width="29" customWidth="1"/>
    <col min="4102" max="4102" width="31.28515625" customWidth="1"/>
    <col min="4103" max="4104" width="0" hidden="1" customWidth="1"/>
    <col min="4105" max="4106" width="16.7109375" customWidth="1"/>
    <col min="4107" max="4107" width="31.28515625" customWidth="1"/>
    <col min="4108" max="4108" width="17" customWidth="1"/>
    <col min="4109" max="4109" width="31.28515625" customWidth="1"/>
    <col min="4110" max="4118" width="0" hidden="1" customWidth="1"/>
    <col min="4119" max="4119" width="16.7109375" customWidth="1"/>
    <col min="4120" max="4120" width="17.85546875" customWidth="1"/>
    <col min="4121" max="4121" width="27.140625" customWidth="1"/>
    <col min="4122" max="4122" width="47.140625" bestFit="1" customWidth="1"/>
    <col min="4123" max="4123" width="27.5703125" customWidth="1"/>
    <col min="4124" max="4124" width="33.140625" bestFit="1" customWidth="1"/>
    <col min="4125" max="4125" width="32.5703125" customWidth="1"/>
    <col min="4126" max="4132" width="0" hidden="1" customWidth="1"/>
    <col min="4133" max="4133" width="36.42578125" customWidth="1"/>
    <col min="4134" max="4135" width="0" hidden="1" customWidth="1"/>
    <col min="4136" max="4136" width="36.42578125" customWidth="1"/>
    <col min="4137" max="4143" width="0" hidden="1" customWidth="1"/>
    <col min="4144" max="4144" width="11.5703125" customWidth="1"/>
    <col min="4341" max="4343" width="0" hidden="1" customWidth="1"/>
    <col min="4344" max="4344" width="16.140625" customWidth="1"/>
    <col min="4345" max="4348" width="0" hidden="1" customWidth="1"/>
    <col min="4349" max="4349" width="53.28515625" customWidth="1"/>
    <col min="4350" max="4350" width="36.5703125" customWidth="1"/>
    <col min="4351" max="4351" width="35" bestFit="1" customWidth="1"/>
    <col min="4352" max="4352" width="36.5703125" customWidth="1"/>
    <col min="4353" max="4353" width="36.7109375" customWidth="1"/>
    <col min="4354" max="4354" width="35.42578125" customWidth="1"/>
    <col min="4355" max="4355" width="31.28515625" customWidth="1"/>
    <col min="4356" max="4357" width="29" customWidth="1"/>
    <col min="4358" max="4358" width="31.28515625" customWidth="1"/>
    <col min="4359" max="4360" width="0" hidden="1" customWidth="1"/>
    <col min="4361" max="4362" width="16.7109375" customWidth="1"/>
    <col min="4363" max="4363" width="31.28515625" customWidth="1"/>
    <col min="4364" max="4364" width="17" customWidth="1"/>
    <col min="4365" max="4365" width="31.28515625" customWidth="1"/>
    <col min="4366" max="4374" width="0" hidden="1" customWidth="1"/>
    <col min="4375" max="4375" width="16.7109375" customWidth="1"/>
    <col min="4376" max="4376" width="17.85546875" customWidth="1"/>
    <col min="4377" max="4377" width="27.140625" customWidth="1"/>
    <col min="4378" max="4378" width="47.140625" bestFit="1" customWidth="1"/>
    <col min="4379" max="4379" width="27.5703125" customWidth="1"/>
    <col min="4380" max="4380" width="33.140625" bestFit="1" customWidth="1"/>
    <col min="4381" max="4381" width="32.5703125" customWidth="1"/>
    <col min="4382" max="4388" width="0" hidden="1" customWidth="1"/>
    <col min="4389" max="4389" width="36.42578125" customWidth="1"/>
    <col min="4390" max="4391" width="0" hidden="1" customWidth="1"/>
    <col min="4392" max="4392" width="36.42578125" customWidth="1"/>
    <col min="4393" max="4399" width="0" hidden="1" customWidth="1"/>
    <col min="4400" max="4400" width="11.5703125" customWidth="1"/>
    <col min="4597" max="4599" width="0" hidden="1" customWidth="1"/>
    <col min="4600" max="4600" width="16.140625" customWidth="1"/>
    <col min="4601" max="4604" width="0" hidden="1" customWidth="1"/>
    <col min="4605" max="4605" width="53.28515625" customWidth="1"/>
    <col min="4606" max="4606" width="36.5703125" customWidth="1"/>
    <col min="4607" max="4607" width="35" bestFit="1" customWidth="1"/>
    <col min="4608" max="4608" width="36.5703125" customWidth="1"/>
    <col min="4609" max="4609" width="36.7109375" customWidth="1"/>
    <col min="4610" max="4610" width="35.42578125" customWidth="1"/>
    <col min="4611" max="4611" width="31.28515625" customWidth="1"/>
    <col min="4612" max="4613" width="29" customWidth="1"/>
    <col min="4614" max="4614" width="31.28515625" customWidth="1"/>
    <col min="4615" max="4616" width="0" hidden="1" customWidth="1"/>
    <col min="4617" max="4618" width="16.7109375" customWidth="1"/>
    <col min="4619" max="4619" width="31.28515625" customWidth="1"/>
    <col min="4620" max="4620" width="17" customWidth="1"/>
    <col min="4621" max="4621" width="31.28515625" customWidth="1"/>
    <col min="4622" max="4630" width="0" hidden="1" customWidth="1"/>
    <col min="4631" max="4631" width="16.7109375" customWidth="1"/>
    <col min="4632" max="4632" width="17.85546875" customWidth="1"/>
    <col min="4633" max="4633" width="27.140625" customWidth="1"/>
    <col min="4634" max="4634" width="47.140625" bestFit="1" customWidth="1"/>
    <col min="4635" max="4635" width="27.5703125" customWidth="1"/>
    <col min="4636" max="4636" width="33.140625" bestFit="1" customWidth="1"/>
    <col min="4637" max="4637" width="32.5703125" customWidth="1"/>
    <col min="4638" max="4644" width="0" hidden="1" customWidth="1"/>
    <col min="4645" max="4645" width="36.42578125" customWidth="1"/>
    <col min="4646" max="4647" width="0" hidden="1" customWidth="1"/>
    <col min="4648" max="4648" width="36.42578125" customWidth="1"/>
    <col min="4649" max="4655" width="0" hidden="1" customWidth="1"/>
    <col min="4656" max="4656" width="11.5703125" customWidth="1"/>
    <col min="4853" max="4855" width="0" hidden="1" customWidth="1"/>
    <col min="4856" max="4856" width="16.140625" customWidth="1"/>
    <col min="4857" max="4860" width="0" hidden="1" customWidth="1"/>
    <col min="4861" max="4861" width="53.28515625" customWidth="1"/>
    <col min="4862" max="4862" width="36.5703125" customWidth="1"/>
    <col min="4863" max="4863" width="35" bestFit="1" customWidth="1"/>
    <col min="4864" max="4864" width="36.5703125" customWidth="1"/>
    <col min="4865" max="4865" width="36.7109375" customWidth="1"/>
    <col min="4866" max="4866" width="35.42578125" customWidth="1"/>
    <col min="4867" max="4867" width="31.28515625" customWidth="1"/>
    <col min="4868" max="4869" width="29" customWidth="1"/>
    <col min="4870" max="4870" width="31.28515625" customWidth="1"/>
    <col min="4871" max="4872" width="0" hidden="1" customWidth="1"/>
    <col min="4873" max="4874" width="16.7109375" customWidth="1"/>
    <col min="4875" max="4875" width="31.28515625" customWidth="1"/>
    <col min="4876" max="4876" width="17" customWidth="1"/>
    <col min="4877" max="4877" width="31.28515625" customWidth="1"/>
    <col min="4878" max="4886" width="0" hidden="1" customWidth="1"/>
    <col min="4887" max="4887" width="16.7109375" customWidth="1"/>
    <col min="4888" max="4888" width="17.85546875" customWidth="1"/>
    <col min="4889" max="4889" width="27.140625" customWidth="1"/>
    <col min="4890" max="4890" width="47.140625" bestFit="1" customWidth="1"/>
    <col min="4891" max="4891" width="27.5703125" customWidth="1"/>
    <col min="4892" max="4892" width="33.140625" bestFit="1" customWidth="1"/>
    <col min="4893" max="4893" width="32.5703125" customWidth="1"/>
    <col min="4894" max="4900" width="0" hidden="1" customWidth="1"/>
    <col min="4901" max="4901" width="36.42578125" customWidth="1"/>
    <col min="4902" max="4903" width="0" hidden="1" customWidth="1"/>
    <col min="4904" max="4904" width="36.42578125" customWidth="1"/>
    <col min="4905" max="4911" width="0" hidden="1" customWidth="1"/>
    <col min="4912" max="4912" width="11.5703125" customWidth="1"/>
    <col min="5109" max="5111" width="0" hidden="1" customWidth="1"/>
    <col min="5112" max="5112" width="16.140625" customWidth="1"/>
    <col min="5113" max="5116" width="0" hidden="1" customWidth="1"/>
    <col min="5117" max="5117" width="53.28515625" customWidth="1"/>
    <col min="5118" max="5118" width="36.5703125" customWidth="1"/>
    <col min="5119" max="5119" width="35" bestFit="1" customWidth="1"/>
    <col min="5120" max="5120" width="36.5703125" customWidth="1"/>
    <col min="5121" max="5121" width="36.7109375" customWidth="1"/>
    <col min="5122" max="5122" width="35.42578125" customWidth="1"/>
    <col min="5123" max="5123" width="31.28515625" customWidth="1"/>
    <col min="5124" max="5125" width="29" customWidth="1"/>
    <col min="5126" max="5126" width="31.28515625" customWidth="1"/>
    <col min="5127" max="5128" width="0" hidden="1" customWidth="1"/>
    <col min="5129" max="5130" width="16.7109375" customWidth="1"/>
    <col min="5131" max="5131" width="31.28515625" customWidth="1"/>
    <col min="5132" max="5132" width="17" customWidth="1"/>
    <col min="5133" max="5133" width="31.28515625" customWidth="1"/>
    <col min="5134" max="5142" width="0" hidden="1" customWidth="1"/>
    <col min="5143" max="5143" width="16.7109375" customWidth="1"/>
    <col min="5144" max="5144" width="17.85546875" customWidth="1"/>
    <col min="5145" max="5145" width="27.140625" customWidth="1"/>
    <col min="5146" max="5146" width="47.140625" bestFit="1" customWidth="1"/>
    <col min="5147" max="5147" width="27.5703125" customWidth="1"/>
    <col min="5148" max="5148" width="33.140625" bestFit="1" customWidth="1"/>
    <col min="5149" max="5149" width="32.5703125" customWidth="1"/>
    <col min="5150" max="5156" width="0" hidden="1" customWidth="1"/>
    <col min="5157" max="5157" width="36.42578125" customWidth="1"/>
    <col min="5158" max="5159" width="0" hidden="1" customWidth="1"/>
    <col min="5160" max="5160" width="36.42578125" customWidth="1"/>
    <col min="5161" max="5167" width="0" hidden="1" customWidth="1"/>
    <col min="5168" max="5168" width="11.5703125" customWidth="1"/>
    <col min="5365" max="5367" width="0" hidden="1" customWidth="1"/>
    <col min="5368" max="5368" width="16.140625" customWidth="1"/>
    <col min="5369" max="5372" width="0" hidden="1" customWidth="1"/>
    <col min="5373" max="5373" width="53.28515625" customWidth="1"/>
    <col min="5374" max="5374" width="36.5703125" customWidth="1"/>
    <col min="5375" max="5375" width="35" bestFit="1" customWidth="1"/>
    <col min="5376" max="5376" width="36.5703125" customWidth="1"/>
    <col min="5377" max="5377" width="36.7109375" customWidth="1"/>
    <col min="5378" max="5378" width="35.42578125" customWidth="1"/>
    <col min="5379" max="5379" width="31.28515625" customWidth="1"/>
    <col min="5380" max="5381" width="29" customWidth="1"/>
    <col min="5382" max="5382" width="31.28515625" customWidth="1"/>
    <col min="5383" max="5384" width="0" hidden="1" customWidth="1"/>
    <col min="5385" max="5386" width="16.7109375" customWidth="1"/>
    <col min="5387" max="5387" width="31.28515625" customWidth="1"/>
    <col min="5388" max="5388" width="17" customWidth="1"/>
    <col min="5389" max="5389" width="31.28515625" customWidth="1"/>
    <col min="5390" max="5398" width="0" hidden="1" customWidth="1"/>
    <col min="5399" max="5399" width="16.7109375" customWidth="1"/>
    <col min="5400" max="5400" width="17.85546875" customWidth="1"/>
    <col min="5401" max="5401" width="27.140625" customWidth="1"/>
    <col min="5402" max="5402" width="47.140625" bestFit="1" customWidth="1"/>
    <col min="5403" max="5403" width="27.5703125" customWidth="1"/>
    <col min="5404" max="5404" width="33.140625" bestFit="1" customWidth="1"/>
    <col min="5405" max="5405" width="32.5703125" customWidth="1"/>
    <col min="5406" max="5412" width="0" hidden="1" customWidth="1"/>
    <col min="5413" max="5413" width="36.42578125" customWidth="1"/>
    <col min="5414" max="5415" width="0" hidden="1" customWidth="1"/>
    <col min="5416" max="5416" width="36.42578125" customWidth="1"/>
    <col min="5417" max="5423" width="0" hidden="1" customWidth="1"/>
    <col min="5424" max="5424" width="11.5703125" customWidth="1"/>
    <col min="5621" max="5623" width="0" hidden="1" customWidth="1"/>
    <col min="5624" max="5624" width="16.140625" customWidth="1"/>
    <col min="5625" max="5628" width="0" hidden="1" customWidth="1"/>
    <col min="5629" max="5629" width="53.28515625" customWidth="1"/>
    <col min="5630" max="5630" width="36.5703125" customWidth="1"/>
    <col min="5631" max="5631" width="35" bestFit="1" customWidth="1"/>
    <col min="5632" max="5632" width="36.5703125" customWidth="1"/>
    <col min="5633" max="5633" width="36.7109375" customWidth="1"/>
    <col min="5634" max="5634" width="35.42578125" customWidth="1"/>
    <col min="5635" max="5635" width="31.28515625" customWidth="1"/>
    <col min="5636" max="5637" width="29" customWidth="1"/>
    <col min="5638" max="5638" width="31.28515625" customWidth="1"/>
    <col min="5639" max="5640" width="0" hidden="1" customWidth="1"/>
    <col min="5641" max="5642" width="16.7109375" customWidth="1"/>
    <col min="5643" max="5643" width="31.28515625" customWidth="1"/>
    <col min="5644" max="5644" width="17" customWidth="1"/>
    <col min="5645" max="5645" width="31.28515625" customWidth="1"/>
    <col min="5646" max="5654" width="0" hidden="1" customWidth="1"/>
    <col min="5655" max="5655" width="16.7109375" customWidth="1"/>
    <col min="5656" max="5656" width="17.85546875" customWidth="1"/>
    <col min="5657" max="5657" width="27.140625" customWidth="1"/>
    <col min="5658" max="5658" width="47.140625" bestFit="1" customWidth="1"/>
    <col min="5659" max="5659" width="27.5703125" customWidth="1"/>
    <col min="5660" max="5660" width="33.140625" bestFit="1" customWidth="1"/>
    <col min="5661" max="5661" width="32.5703125" customWidth="1"/>
    <col min="5662" max="5668" width="0" hidden="1" customWidth="1"/>
    <col min="5669" max="5669" width="36.42578125" customWidth="1"/>
    <col min="5670" max="5671" width="0" hidden="1" customWidth="1"/>
    <col min="5672" max="5672" width="36.42578125" customWidth="1"/>
    <col min="5673" max="5679" width="0" hidden="1" customWidth="1"/>
    <col min="5680" max="5680" width="11.5703125" customWidth="1"/>
    <col min="5877" max="5879" width="0" hidden="1" customWidth="1"/>
    <col min="5880" max="5880" width="16.140625" customWidth="1"/>
    <col min="5881" max="5884" width="0" hidden="1" customWidth="1"/>
    <col min="5885" max="5885" width="53.28515625" customWidth="1"/>
    <col min="5886" max="5886" width="36.5703125" customWidth="1"/>
    <col min="5887" max="5887" width="35" bestFit="1" customWidth="1"/>
    <col min="5888" max="5888" width="36.5703125" customWidth="1"/>
    <col min="5889" max="5889" width="36.7109375" customWidth="1"/>
    <col min="5890" max="5890" width="35.42578125" customWidth="1"/>
    <col min="5891" max="5891" width="31.28515625" customWidth="1"/>
    <col min="5892" max="5893" width="29" customWidth="1"/>
    <col min="5894" max="5894" width="31.28515625" customWidth="1"/>
    <col min="5895" max="5896" width="0" hidden="1" customWidth="1"/>
    <col min="5897" max="5898" width="16.7109375" customWidth="1"/>
    <col min="5899" max="5899" width="31.28515625" customWidth="1"/>
    <col min="5900" max="5900" width="17" customWidth="1"/>
    <col min="5901" max="5901" width="31.28515625" customWidth="1"/>
    <col min="5902" max="5910" width="0" hidden="1" customWidth="1"/>
    <col min="5911" max="5911" width="16.7109375" customWidth="1"/>
    <col min="5912" max="5912" width="17.85546875" customWidth="1"/>
    <col min="5913" max="5913" width="27.140625" customWidth="1"/>
    <col min="5914" max="5914" width="47.140625" bestFit="1" customWidth="1"/>
    <col min="5915" max="5915" width="27.5703125" customWidth="1"/>
    <col min="5916" max="5916" width="33.140625" bestFit="1" customWidth="1"/>
    <col min="5917" max="5917" width="32.5703125" customWidth="1"/>
    <col min="5918" max="5924" width="0" hidden="1" customWidth="1"/>
    <col min="5925" max="5925" width="36.42578125" customWidth="1"/>
    <col min="5926" max="5927" width="0" hidden="1" customWidth="1"/>
    <col min="5928" max="5928" width="36.42578125" customWidth="1"/>
    <col min="5929" max="5935" width="0" hidden="1" customWidth="1"/>
    <col min="5936" max="5936" width="11.5703125" customWidth="1"/>
    <col min="6133" max="6135" width="0" hidden="1" customWidth="1"/>
    <col min="6136" max="6136" width="16.140625" customWidth="1"/>
    <col min="6137" max="6140" width="0" hidden="1" customWidth="1"/>
    <col min="6141" max="6141" width="53.28515625" customWidth="1"/>
    <col min="6142" max="6142" width="36.5703125" customWidth="1"/>
    <col min="6143" max="6143" width="35" bestFit="1" customWidth="1"/>
    <col min="6144" max="6144" width="36.5703125" customWidth="1"/>
    <col min="6145" max="6145" width="36.7109375" customWidth="1"/>
    <col min="6146" max="6146" width="35.42578125" customWidth="1"/>
    <col min="6147" max="6147" width="31.28515625" customWidth="1"/>
    <col min="6148" max="6149" width="29" customWidth="1"/>
    <col min="6150" max="6150" width="31.28515625" customWidth="1"/>
    <col min="6151" max="6152" width="0" hidden="1" customWidth="1"/>
    <col min="6153" max="6154" width="16.7109375" customWidth="1"/>
    <col min="6155" max="6155" width="31.28515625" customWidth="1"/>
    <col min="6156" max="6156" width="17" customWidth="1"/>
    <col min="6157" max="6157" width="31.28515625" customWidth="1"/>
    <col min="6158" max="6166" width="0" hidden="1" customWidth="1"/>
    <col min="6167" max="6167" width="16.7109375" customWidth="1"/>
    <col min="6168" max="6168" width="17.85546875" customWidth="1"/>
    <col min="6169" max="6169" width="27.140625" customWidth="1"/>
    <col min="6170" max="6170" width="47.140625" bestFit="1" customWidth="1"/>
    <col min="6171" max="6171" width="27.5703125" customWidth="1"/>
    <col min="6172" max="6172" width="33.140625" bestFit="1" customWidth="1"/>
    <col min="6173" max="6173" width="32.5703125" customWidth="1"/>
    <col min="6174" max="6180" width="0" hidden="1" customWidth="1"/>
    <col min="6181" max="6181" width="36.42578125" customWidth="1"/>
    <col min="6182" max="6183" width="0" hidden="1" customWidth="1"/>
    <col min="6184" max="6184" width="36.42578125" customWidth="1"/>
    <col min="6185" max="6191" width="0" hidden="1" customWidth="1"/>
    <col min="6192" max="6192" width="11.5703125" customWidth="1"/>
    <col min="6389" max="6391" width="0" hidden="1" customWidth="1"/>
    <col min="6392" max="6392" width="16.140625" customWidth="1"/>
    <col min="6393" max="6396" width="0" hidden="1" customWidth="1"/>
    <col min="6397" max="6397" width="53.28515625" customWidth="1"/>
    <col min="6398" max="6398" width="36.5703125" customWidth="1"/>
    <col min="6399" max="6399" width="35" bestFit="1" customWidth="1"/>
    <col min="6400" max="6400" width="36.5703125" customWidth="1"/>
    <col min="6401" max="6401" width="36.7109375" customWidth="1"/>
    <col min="6402" max="6402" width="35.42578125" customWidth="1"/>
    <col min="6403" max="6403" width="31.28515625" customWidth="1"/>
    <col min="6404" max="6405" width="29" customWidth="1"/>
    <col min="6406" max="6406" width="31.28515625" customWidth="1"/>
    <col min="6407" max="6408" width="0" hidden="1" customWidth="1"/>
    <col min="6409" max="6410" width="16.7109375" customWidth="1"/>
    <col min="6411" max="6411" width="31.28515625" customWidth="1"/>
    <col min="6412" max="6412" width="17" customWidth="1"/>
    <col min="6413" max="6413" width="31.28515625" customWidth="1"/>
    <col min="6414" max="6422" width="0" hidden="1" customWidth="1"/>
    <col min="6423" max="6423" width="16.7109375" customWidth="1"/>
    <col min="6424" max="6424" width="17.85546875" customWidth="1"/>
    <col min="6425" max="6425" width="27.140625" customWidth="1"/>
    <col min="6426" max="6426" width="47.140625" bestFit="1" customWidth="1"/>
    <col min="6427" max="6427" width="27.5703125" customWidth="1"/>
    <col min="6428" max="6428" width="33.140625" bestFit="1" customWidth="1"/>
    <col min="6429" max="6429" width="32.5703125" customWidth="1"/>
    <col min="6430" max="6436" width="0" hidden="1" customWidth="1"/>
    <col min="6437" max="6437" width="36.42578125" customWidth="1"/>
    <col min="6438" max="6439" width="0" hidden="1" customWidth="1"/>
    <col min="6440" max="6440" width="36.42578125" customWidth="1"/>
    <col min="6441" max="6447" width="0" hidden="1" customWidth="1"/>
    <col min="6448" max="6448" width="11.5703125" customWidth="1"/>
    <col min="6645" max="6647" width="0" hidden="1" customWidth="1"/>
    <col min="6648" max="6648" width="16.140625" customWidth="1"/>
    <col min="6649" max="6652" width="0" hidden="1" customWidth="1"/>
    <col min="6653" max="6653" width="53.28515625" customWidth="1"/>
    <col min="6654" max="6654" width="36.5703125" customWidth="1"/>
    <col min="6655" max="6655" width="35" bestFit="1" customWidth="1"/>
    <col min="6656" max="6656" width="36.5703125" customWidth="1"/>
    <col min="6657" max="6657" width="36.7109375" customWidth="1"/>
    <col min="6658" max="6658" width="35.42578125" customWidth="1"/>
    <col min="6659" max="6659" width="31.28515625" customWidth="1"/>
    <col min="6660" max="6661" width="29" customWidth="1"/>
    <col min="6662" max="6662" width="31.28515625" customWidth="1"/>
    <col min="6663" max="6664" width="0" hidden="1" customWidth="1"/>
    <col min="6665" max="6666" width="16.7109375" customWidth="1"/>
    <col min="6667" max="6667" width="31.28515625" customWidth="1"/>
    <col min="6668" max="6668" width="17" customWidth="1"/>
    <col min="6669" max="6669" width="31.28515625" customWidth="1"/>
    <col min="6670" max="6678" width="0" hidden="1" customWidth="1"/>
    <col min="6679" max="6679" width="16.7109375" customWidth="1"/>
    <col min="6680" max="6680" width="17.85546875" customWidth="1"/>
    <col min="6681" max="6681" width="27.140625" customWidth="1"/>
    <col min="6682" max="6682" width="47.140625" bestFit="1" customWidth="1"/>
    <col min="6683" max="6683" width="27.5703125" customWidth="1"/>
    <col min="6684" max="6684" width="33.140625" bestFit="1" customWidth="1"/>
    <col min="6685" max="6685" width="32.5703125" customWidth="1"/>
    <col min="6686" max="6692" width="0" hidden="1" customWidth="1"/>
    <col min="6693" max="6693" width="36.42578125" customWidth="1"/>
    <col min="6694" max="6695" width="0" hidden="1" customWidth="1"/>
    <col min="6696" max="6696" width="36.42578125" customWidth="1"/>
    <col min="6697" max="6703" width="0" hidden="1" customWidth="1"/>
    <col min="6704" max="6704" width="11.5703125" customWidth="1"/>
    <col min="6901" max="6903" width="0" hidden="1" customWidth="1"/>
    <col min="6904" max="6904" width="16.140625" customWidth="1"/>
    <col min="6905" max="6908" width="0" hidden="1" customWidth="1"/>
    <col min="6909" max="6909" width="53.28515625" customWidth="1"/>
    <col min="6910" max="6910" width="36.5703125" customWidth="1"/>
    <col min="6911" max="6911" width="35" bestFit="1" customWidth="1"/>
    <col min="6912" max="6912" width="36.5703125" customWidth="1"/>
    <col min="6913" max="6913" width="36.7109375" customWidth="1"/>
    <col min="6914" max="6914" width="35.42578125" customWidth="1"/>
    <col min="6915" max="6915" width="31.28515625" customWidth="1"/>
    <col min="6916" max="6917" width="29" customWidth="1"/>
    <col min="6918" max="6918" width="31.28515625" customWidth="1"/>
    <col min="6919" max="6920" width="0" hidden="1" customWidth="1"/>
    <col min="6921" max="6922" width="16.7109375" customWidth="1"/>
    <col min="6923" max="6923" width="31.28515625" customWidth="1"/>
    <col min="6924" max="6924" width="17" customWidth="1"/>
    <col min="6925" max="6925" width="31.28515625" customWidth="1"/>
    <col min="6926" max="6934" width="0" hidden="1" customWidth="1"/>
    <col min="6935" max="6935" width="16.7109375" customWidth="1"/>
    <col min="6936" max="6936" width="17.85546875" customWidth="1"/>
    <col min="6937" max="6937" width="27.140625" customWidth="1"/>
    <col min="6938" max="6938" width="47.140625" bestFit="1" customWidth="1"/>
    <col min="6939" max="6939" width="27.5703125" customWidth="1"/>
    <col min="6940" max="6940" width="33.140625" bestFit="1" customWidth="1"/>
    <col min="6941" max="6941" width="32.5703125" customWidth="1"/>
    <col min="6942" max="6948" width="0" hidden="1" customWidth="1"/>
    <col min="6949" max="6949" width="36.42578125" customWidth="1"/>
    <col min="6950" max="6951" width="0" hidden="1" customWidth="1"/>
    <col min="6952" max="6952" width="36.42578125" customWidth="1"/>
    <col min="6953" max="6959" width="0" hidden="1" customWidth="1"/>
    <col min="6960" max="6960" width="11.5703125" customWidth="1"/>
    <col min="7157" max="7159" width="0" hidden="1" customWidth="1"/>
    <col min="7160" max="7160" width="16.140625" customWidth="1"/>
    <col min="7161" max="7164" width="0" hidden="1" customWidth="1"/>
    <col min="7165" max="7165" width="53.28515625" customWidth="1"/>
    <col min="7166" max="7166" width="36.5703125" customWidth="1"/>
    <col min="7167" max="7167" width="35" bestFit="1" customWidth="1"/>
    <col min="7168" max="7168" width="36.5703125" customWidth="1"/>
    <col min="7169" max="7169" width="36.7109375" customWidth="1"/>
    <col min="7170" max="7170" width="35.42578125" customWidth="1"/>
    <col min="7171" max="7171" width="31.28515625" customWidth="1"/>
    <col min="7172" max="7173" width="29" customWidth="1"/>
    <col min="7174" max="7174" width="31.28515625" customWidth="1"/>
    <col min="7175" max="7176" width="0" hidden="1" customWidth="1"/>
    <col min="7177" max="7178" width="16.7109375" customWidth="1"/>
    <col min="7179" max="7179" width="31.28515625" customWidth="1"/>
    <col min="7180" max="7180" width="17" customWidth="1"/>
    <col min="7181" max="7181" width="31.28515625" customWidth="1"/>
    <col min="7182" max="7190" width="0" hidden="1" customWidth="1"/>
    <col min="7191" max="7191" width="16.7109375" customWidth="1"/>
    <col min="7192" max="7192" width="17.85546875" customWidth="1"/>
    <col min="7193" max="7193" width="27.140625" customWidth="1"/>
    <col min="7194" max="7194" width="47.140625" bestFit="1" customWidth="1"/>
    <col min="7195" max="7195" width="27.5703125" customWidth="1"/>
    <col min="7196" max="7196" width="33.140625" bestFit="1" customWidth="1"/>
    <col min="7197" max="7197" width="32.5703125" customWidth="1"/>
    <col min="7198" max="7204" width="0" hidden="1" customWidth="1"/>
    <col min="7205" max="7205" width="36.42578125" customWidth="1"/>
    <col min="7206" max="7207" width="0" hidden="1" customWidth="1"/>
    <col min="7208" max="7208" width="36.42578125" customWidth="1"/>
    <col min="7209" max="7215" width="0" hidden="1" customWidth="1"/>
    <col min="7216" max="7216" width="11.5703125" customWidth="1"/>
    <col min="7413" max="7415" width="0" hidden="1" customWidth="1"/>
    <col min="7416" max="7416" width="16.140625" customWidth="1"/>
    <col min="7417" max="7420" width="0" hidden="1" customWidth="1"/>
    <col min="7421" max="7421" width="53.28515625" customWidth="1"/>
    <col min="7422" max="7422" width="36.5703125" customWidth="1"/>
    <col min="7423" max="7423" width="35" bestFit="1" customWidth="1"/>
    <col min="7424" max="7424" width="36.5703125" customWidth="1"/>
    <col min="7425" max="7425" width="36.7109375" customWidth="1"/>
    <col min="7426" max="7426" width="35.42578125" customWidth="1"/>
    <col min="7427" max="7427" width="31.28515625" customWidth="1"/>
    <col min="7428" max="7429" width="29" customWidth="1"/>
    <col min="7430" max="7430" width="31.28515625" customWidth="1"/>
    <col min="7431" max="7432" width="0" hidden="1" customWidth="1"/>
    <col min="7433" max="7434" width="16.7109375" customWidth="1"/>
    <col min="7435" max="7435" width="31.28515625" customWidth="1"/>
    <col min="7436" max="7436" width="17" customWidth="1"/>
    <col min="7437" max="7437" width="31.28515625" customWidth="1"/>
    <col min="7438" max="7446" width="0" hidden="1" customWidth="1"/>
    <col min="7447" max="7447" width="16.7109375" customWidth="1"/>
    <col min="7448" max="7448" width="17.85546875" customWidth="1"/>
    <col min="7449" max="7449" width="27.140625" customWidth="1"/>
    <col min="7450" max="7450" width="47.140625" bestFit="1" customWidth="1"/>
    <col min="7451" max="7451" width="27.5703125" customWidth="1"/>
    <col min="7452" max="7452" width="33.140625" bestFit="1" customWidth="1"/>
    <col min="7453" max="7453" width="32.5703125" customWidth="1"/>
    <col min="7454" max="7460" width="0" hidden="1" customWidth="1"/>
    <col min="7461" max="7461" width="36.42578125" customWidth="1"/>
    <col min="7462" max="7463" width="0" hidden="1" customWidth="1"/>
    <col min="7464" max="7464" width="36.42578125" customWidth="1"/>
    <col min="7465" max="7471" width="0" hidden="1" customWidth="1"/>
    <col min="7472" max="7472" width="11.5703125" customWidth="1"/>
    <col min="7669" max="7671" width="0" hidden="1" customWidth="1"/>
    <col min="7672" max="7672" width="16.140625" customWidth="1"/>
    <col min="7673" max="7676" width="0" hidden="1" customWidth="1"/>
    <col min="7677" max="7677" width="53.28515625" customWidth="1"/>
    <col min="7678" max="7678" width="36.5703125" customWidth="1"/>
    <col min="7679" max="7679" width="35" bestFit="1" customWidth="1"/>
    <col min="7680" max="7680" width="36.5703125" customWidth="1"/>
    <col min="7681" max="7681" width="36.7109375" customWidth="1"/>
    <col min="7682" max="7682" width="35.42578125" customWidth="1"/>
    <col min="7683" max="7683" width="31.28515625" customWidth="1"/>
    <col min="7684" max="7685" width="29" customWidth="1"/>
    <col min="7686" max="7686" width="31.28515625" customWidth="1"/>
    <col min="7687" max="7688" width="0" hidden="1" customWidth="1"/>
    <col min="7689" max="7690" width="16.7109375" customWidth="1"/>
    <col min="7691" max="7691" width="31.28515625" customWidth="1"/>
    <col min="7692" max="7692" width="17" customWidth="1"/>
    <col min="7693" max="7693" width="31.28515625" customWidth="1"/>
    <col min="7694" max="7702" width="0" hidden="1" customWidth="1"/>
    <col min="7703" max="7703" width="16.7109375" customWidth="1"/>
    <col min="7704" max="7704" width="17.85546875" customWidth="1"/>
    <col min="7705" max="7705" width="27.140625" customWidth="1"/>
    <col min="7706" max="7706" width="47.140625" bestFit="1" customWidth="1"/>
    <col min="7707" max="7707" width="27.5703125" customWidth="1"/>
    <col min="7708" max="7708" width="33.140625" bestFit="1" customWidth="1"/>
    <col min="7709" max="7709" width="32.5703125" customWidth="1"/>
    <col min="7710" max="7716" width="0" hidden="1" customWidth="1"/>
    <col min="7717" max="7717" width="36.42578125" customWidth="1"/>
    <col min="7718" max="7719" width="0" hidden="1" customWidth="1"/>
    <col min="7720" max="7720" width="36.42578125" customWidth="1"/>
    <col min="7721" max="7727" width="0" hidden="1" customWidth="1"/>
    <col min="7728" max="7728" width="11.5703125" customWidth="1"/>
    <col min="7925" max="7927" width="0" hidden="1" customWidth="1"/>
    <col min="7928" max="7928" width="16.140625" customWidth="1"/>
    <col min="7929" max="7932" width="0" hidden="1" customWidth="1"/>
    <col min="7933" max="7933" width="53.28515625" customWidth="1"/>
    <col min="7934" max="7934" width="36.5703125" customWidth="1"/>
    <col min="7935" max="7935" width="35" bestFit="1" customWidth="1"/>
    <col min="7936" max="7936" width="36.5703125" customWidth="1"/>
    <col min="7937" max="7937" width="36.7109375" customWidth="1"/>
    <col min="7938" max="7938" width="35.42578125" customWidth="1"/>
    <col min="7939" max="7939" width="31.28515625" customWidth="1"/>
    <col min="7940" max="7941" width="29" customWidth="1"/>
    <col min="7942" max="7942" width="31.28515625" customWidth="1"/>
    <col min="7943" max="7944" width="0" hidden="1" customWidth="1"/>
    <col min="7945" max="7946" width="16.7109375" customWidth="1"/>
    <col min="7947" max="7947" width="31.28515625" customWidth="1"/>
    <col min="7948" max="7948" width="17" customWidth="1"/>
    <col min="7949" max="7949" width="31.28515625" customWidth="1"/>
    <col min="7950" max="7958" width="0" hidden="1" customWidth="1"/>
    <col min="7959" max="7959" width="16.7109375" customWidth="1"/>
    <col min="7960" max="7960" width="17.85546875" customWidth="1"/>
    <col min="7961" max="7961" width="27.140625" customWidth="1"/>
    <col min="7962" max="7962" width="47.140625" bestFit="1" customWidth="1"/>
    <col min="7963" max="7963" width="27.5703125" customWidth="1"/>
    <col min="7964" max="7964" width="33.140625" bestFit="1" customWidth="1"/>
    <col min="7965" max="7965" width="32.5703125" customWidth="1"/>
    <col min="7966" max="7972" width="0" hidden="1" customWidth="1"/>
    <col min="7973" max="7973" width="36.42578125" customWidth="1"/>
    <col min="7974" max="7975" width="0" hidden="1" customWidth="1"/>
    <col min="7976" max="7976" width="36.42578125" customWidth="1"/>
    <col min="7977" max="7983" width="0" hidden="1" customWidth="1"/>
    <col min="7984" max="7984" width="11.5703125" customWidth="1"/>
    <col min="8181" max="8183" width="0" hidden="1" customWidth="1"/>
    <col min="8184" max="8184" width="16.140625" customWidth="1"/>
    <col min="8185" max="8188" width="0" hidden="1" customWidth="1"/>
    <col min="8189" max="8189" width="53.28515625" customWidth="1"/>
    <col min="8190" max="8190" width="36.5703125" customWidth="1"/>
    <col min="8191" max="8191" width="35" bestFit="1" customWidth="1"/>
    <col min="8192" max="8192" width="36.5703125" customWidth="1"/>
    <col min="8193" max="8193" width="36.7109375" customWidth="1"/>
    <col min="8194" max="8194" width="35.42578125" customWidth="1"/>
    <col min="8195" max="8195" width="31.28515625" customWidth="1"/>
    <col min="8196" max="8197" width="29" customWidth="1"/>
    <col min="8198" max="8198" width="31.28515625" customWidth="1"/>
    <col min="8199" max="8200" width="0" hidden="1" customWidth="1"/>
    <col min="8201" max="8202" width="16.7109375" customWidth="1"/>
    <col min="8203" max="8203" width="31.28515625" customWidth="1"/>
    <col min="8204" max="8204" width="17" customWidth="1"/>
    <col min="8205" max="8205" width="31.28515625" customWidth="1"/>
    <col min="8206" max="8214" width="0" hidden="1" customWidth="1"/>
    <col min="8215" max="8215" width="16.7109375" customWidth="1"/>
    <col min="8216" max="8216" width="17.85546875" customWidth="1"/>
    <col min="8217" max="8217" width="27.140625" customWidth="1"/>
    <col min="8218" max="8218" width="47.140625" bestFit="1" customWidth="1"/>
    <col min="8219" max="8219" width="27.5703125" customWidth="1"/>
    <col min="8220" max="8220" width="33.140625" bestFit="1" customWidth="1"/>
    <col min="8221" max="8221" width="32.5703125" customWidth="1"/>
    <col min="8222" max="8228" width="0" hidden="1" customWidth="1"/>
    <col min="8229" max="8229" width="36.42578125" customWidth="1"/>
    <col min="8230" max="8231" width="0" hidden="1" customWidth="1"/>
    <col min="8232" max="8232" width="36.42578125" customWidth="1"/>
    <col min="8233" max="8239" width="0" hidden="1" customWidth="1"/>
    <col min="8240" max="8240" width="11.5703125" customWidth="1"/>
    <col min="8437" max="8439" width="0" hidden="1" customWidth="1"/>
    <col min="8440" max="8440" width="16.140625" customWidth="1"/>
    <col min="8441" max="8444" width="0" hidden="1" customWidth="1"/>
    <col min="8445" max="8445" width="53.28515625" customWidth="1"/>
    <col min="8446" max="8446" width="36.5703125" customWidth="1"/>
    <col min="8447" max="8447" width="35" bestFit="1" customWidth="1"/>
    <col min="8448" max="8448" width="36.5703125" customWidth="1"/>
    <col min="8449" max="8449" width="36.7109375" customWidth="1"/>
    <col min="8450" max="8450" width="35.42578125" customWidth="1"/>
    <col min="8451" max="8451" width="31.28515625" customWidth="1"/>
    <col min="8452" max="8453" width="29" customWidth="1"/>
    <col min="8454" max="8454" width="31.28515625" customWidth="1"/>
    <col min="8455" max="8456" width="0" hidden="1" customWidth="1"/>
    <col min="8457" max="8458" width="16.7109375" customWidth="1"/>
    <col min="8459" max="8459" width="31.28515625" customWidth="1"/>
    <col min="8460" max="8460" width="17" customWidth="1"/>
    <col min="8461" max="8461" width="31.28515625" customWidth="1"/>
    <col min="8462" max="8470" width="0" hidden="1" customWidth="1"/>
    <col min="8471" max="8471" width="16.7109375" customWidth="1"/>
    <col min="8472" max="8472" width="17.85546875" customWidth="1"/>
    <col min="8473" max="8473" width="27.140625" customWidth="1"/>
    <col min="8474" max="8474" width="47.140625" bestFit="1" customWidth="1"/>
    <col min="8475" max="8475" width="27.5703125" customWidth="1"/>
    <col min="8476" max="8476" width="33.140625" bestFit="1" customWidth="1"/>
    <col min="8477" max="8477" width="32.5703125" customWidth="1"/>
    <col min="8478" max="8484" width="0" hidden="1" customWidth="1"/>
    <col min="8485" max="8485" width="36.42578125" customWidth="1"/>
    <col min="8486" max="8487" width="0" hidden="1" customWidth="1"/>
    <col min="8488" max="8488" width="36.42578125" customWidth="1"/>
    <col min="8489" max="8495" width="0" hidden="1" customWidth="1"/>
    <col min="8496" max="8496" width="11.5703125" customWidth="1"/>
    <col min="8693" max="8695" width="0" hidden="1" customWidth="1"/>
    <col min="8696" max="8696" width="16.140625" customWidth="1"/>
    <col min="8697" max="8700" width="0" hidden="1" customWidth="1"/>
    <col min="8701" max="8701" width="53.28515625" customWidth="1"/>
    <col min="8702" max="8702" width="36.5703125" customWidth="1"/>
    <col min="8703" max="8703" width="35" bestFit="1" customWidth="1"/>
    <col min="8704" max="8704" width="36.5703125" customWidth="1"/>
    <col min="8705" max="8705" width="36.7109375" customWidth="1"/>
    <col min="8706" max="8706" width="35.42578125" customWidth="1"/>
    <col min="8707" max="8707" width="31.28515625" customWidth="1"/>
    <col min="8708" max="8709" width="29" customWidth="1"/>
    <col min="8710" max="8710" width="31.28515625" customWidth="1"/>
    <col min="8711" max="8712" width="0" hidden="1" customWidth="1"/>
    <col min="8713" max="8714" width="16.7109375" customWidth="1"/>
    <col min="8715" max="8715" width="31.28515625" customWidth="1"/>
    <col min="8716" max="8716" width="17" customWidth="1"/>
    <col min="8717" max="8717" width="31.28515625" customWidth="1"/>
    <col min="8718" max="8726" width="0" hidden="1" customWidth="1"/>
    <col min="8727" max="8727" width="16.7109375" customWidth="1"/>
    <col min="8728" max="8728" width="17.85546875" customWidth="1"/>
    <col min="8729" max="8729" width="27.140625" customWidth="1"/>
    <col min="8730" max="8730" width="47.140625" bestFit="1" customWidth="1"/>
    <col min="8731" max="8731" width="27.5703125" customWidth="1"/>
    <col min="8732" max="8732" width="33.140625" bestFit="1" customWidth="1"/>
    <col min="8733" max="8733" width="32.5703125" customWidth="1"/>
    <col min="8734" max="8740" width="0" hidden="1" customWidth="1"/>
    <col min="8741" max="8741" width="36.42578125" customWidth="1"/>
    <col min="8742" max="8743" width="0" hidden="1" customWidth="1"/>
    <col min="8744" max="8744" width="36.42578125" customWidth="1"/>
    <col min="8745" max="8751" width="0" hidden="1" customWidth="1"/>
    <col min="8752" max="8752" width="11.5703125" customWidth="1"/>
    <col min="8949" max="8951" width="0" hidden="1" customWidth="1"/>
    <col min="8952" max="8952" width="16.140625" customWidth="1"/>
    <col min="8953" max="8956" width="0" hidden="1" customWidth="1"/>
    <col min="8957" max="8957" width="53.28515625" customWidth="1"/>
    <col min="8958" max="8958" width="36.5703125" customWidth="1"/>
    <col min="8959" max="8959" width="35" bestFit="1" customWidth="1"/>
    <col min="8960" max="8960" width="36.5703125" customWidth="1"/>
    <col min="8961" max="8961" width="36.7109375" customWidth="1"/>
    <col min="8962" max="8962" width="35.42578125" customWidth="1"/>
    <col min="8963" max="8963" width="31.28515625" customWidth="1"/>
    <col min="8964" max="8965" width="29" customWidth="1"/>
    <col min="8966" max="8966" width="31.28515625" customWidth="1"/>
    <col min="8967" max="8968" width="0" hidden="1" customWidth="1"/>
    <col min="8969" max="8970" width="16.7109375" customWidth="1"/>
    <col min="8971" max="8971" width="31.28515625" customWidth="1"/>
    <col min="8972" max="8972" width="17" customWidth="1"/>
    <col min="8973" max="8973" width="31.28515625" customWidth="1"/>
    <col min="8974" max="8982" width="0" hidden="1" customWidth="1"/>
    <col min="8983" max="8983" width="16.7109375" customWidth="1"/>
    <col min="8984" max="8984" width="17.85546875" customWidth="1"/>
    <col min="8985" max="8985" width="27.140625" customWidth="1"/>
    <col min="8986" max="8986" width="47.140625" bestFit="1" customWidth="1"/>
    <col min="8987" max="8987" width="27.5703125" customWidth="1"/>
    <col min="8988" max="8988" width="33.140625" bestFit="1" customWidth="1"/>
    <col min="8989" max="8989" width="32.5703125" customWidth="1"/>
    <col min="8990" max="8996" width="0" hidden="1" customWidth="1"/>
    <col min="8997" max="8997" width="36.42578125" customWidth="1"/>
    <col min="8998" max="8999" width="0" hidden="1" customWidth="1"/>
    <col min="9000" max="9000" width="36.42578125" customWidth="1"/>
    <col min="9001" max="9007" width="0" hidden="1" customWidth="1"/>
    <col min="9008" max="9008" width="11.5703125" customWidth="1"/>
    <col min="9205" max="9207" width="0" hidden="1" customWidth="1"/>
    <col min="9208" max="9208" width="16.140625" customWidth="1"/>
    <col min="9209" max="9212" width="0" hidden="1" customWidth="1"/>
    <col min="9213" max="9213" width="53.28515625" customWidth="1"/>
    <col min="9214" max="9214" width="36.5703125" customWidth="1"/>
    <col min="9215" max="9215" width="35" bestFit="1" customWidth="1"/>
    <col min="9216" max="9216" width="36.5703125" customWidth="1"/>
    <col min="9217" max="9217" width="36.7109375" customWidth="1"/>
    <col min="9218" max="9218" width="35.42578125" customWidth="1"/>
    <col min="9219" max="9219" width="31.28515625" customWidth="1"/>
    <col min="9220" max="9221" width="29" customWidth="1"/>
    <col min="9222" max="9222" width="31.28515625" customWidth="1"/>
    <col min="9223" max="9224" width="0" hidden="1" customWidth="1"/>
    <col min="9225" max="9226" width="16.7109375" customWidth="1"/>
    <col min="9227" max="9227" width="31.28515625" customWidth="1"/>
    <col min="9228" max="9228" width="17" customWidth="1"/>
    <col min="9229" max="9229" width="31.28515625" customWidth="1"/>
    <col min="9230" max="9238" width="0" hidden="1" customWidth="1"/>
    <col min="9239" max="9239" width="16.7109375" customWidth="1"/>
    <col min="9240" max="9240" width="17.85546875" customWidth="1"/>
    <col min="9241" max="9241" width="27.140625" customWidth="1"/>
    <col min="9242" max="9242" width="47.140625" bestFit="1" customWidth="1"/>
    <col min="9243" max="9243" width="27.5703125" customWidth="1"/>
    <col min="9244" max="9244" width="33.140625" bestFit="1" customWidth="1"/>
    <col min="9245" max="9245" width="32.5703125" customWidth="1"/>
    <col min="9246" max="9252" width="0" hidden="1" customWidth="1"/>
    <col min="9253" max="9253" width="36.42578125" customWidth="1"/>
    <col min="9254" max="9255" width="0" hidden="1" customWidth="1"/>
    <col min="9256" max="9256" width="36.42578125" customWidth="1"/>
    <col min="9257" max="9263" width="0" hidden="1" customWidth="1"/>
    <col min="9264" max="9264" width="11.5703125" customWidth="1"/>
    <col min="9461" max="9463" width="0" hidden="1" customWidth="1"/>
    <col min="9464" max="9464" width="16.140625" customWidth="1"/>
    <col min="9465" max="9468" width="0" hidden="1" customWidth="1"/>
    <col min="9469" max="9469" width="53.28515625" customWidth="1"/>
    <col min="9470" max="9470" width="36.5703125" customWidth="1"/>
    <col min="9471" max="9471" width="35" bestFit="1" customWidth="1"/>
    <col min="9472" max="9472" width="36.5703125" customWidth="1"/>
    <col min="9473" max="9473" width="36.7109375" customWidth="1"/>
    <col min="9474" max="9474" width="35.42578125" customWidth="1"/>
    <col min="9475" max="9475" width="31.28515625" customWidth="1"/>
    <col min="9476" max="9477" width="29" customWidth="1"/>
    <col min="9478" max="9478" width="31.28515625" customWidth="1"/>
    <col min="9479" max="9480" width="0" hidden="1" customWidth="1"/>
    <col min="9481" max="9482" width="16.7109375" customWidth="1"/>
    <col min="9483" max="9483" width="31.28515625" customWidth="1"/>
    <col min="9484" max="9484" width="17" customWidth="1"/>
    <col min="9485" max="9485" width="31.28515625" customWidth="1"/>
    <col min="9486" max="9494" width="0" hidden="1" customWidth="1"/>
    <col min="9495" max="9495" width="16.7109375" customWidth="1"/>
    <col min="9496" max="9496" width="17.85546875" customWidth="1"/>
    <col min="9497" max="9497" width="27.140625" customWidth="1"/>
    <col min="9498" max="9498" width="47.140625" bestFit="1" customWidth="1"/>
    <col min="9499" max="9499" width="27.5703125" customWidth="1"/>
    <col min="9500" max="9500" width="33.140625" bestFit="1" customWidth="1"/>
    <col min="9501" max="9501" width="32.5703125" customWidth="1"/>
    <col min="9502" max="9508" width="0" hidden="1" customWidth="1"/>
    <col min="9509" max="9509" width="36.42578125" customWidth="1"/>
    <col min="9510" max="9511" width="0" hidden="1" customWidth="1"/>
    <col min="9512" max="9512" width="36.42578125" customWidth="1"/>
    <col min="9513" max="9519" width="0" hidden="1" customWidth="1"/>
    <col min="9520" max="9520" width="11.5703125" customWidth="1"/>
    <col min="9717" max="9719" width="0" hidden="1" customWidth="1"/>
    <col min="9720" max="9720" width="16.140625" customWidth="1"/>
    <col min="9721" max="9724" width="0" hidden="1" customWidth="1"/>
    <col min="9725" max="9725" width="53.28515625" customWidth="1"/>
    <col min="9726" max="9726" width="36.5703125" customWidth="1"/>
    <col min="9727" max="9727" width="35" bestFit="1" customWidth="1"/>
    <col min="9728" max="9728" width="36.5703125" customWidth="1"/>
    <col min="9729" max="9729" width="36.7109375" customWidth="1"/>
    <col min="9730" max="9730" width="35.42578125" customWidth="1"/>
    <col min="9731" max="9731" width="31.28515625" customWidth="1"/>
    <col min="9732" max="9733" width="29" customWidth="1"/>
    <col min="9734" max="9734" width="31.28515625" customWidth="1"/>
    <col min="9735" max="9736" width="0" hidden="1" customWidth="1"/>
    <col min="9737" max="9738" width="16.7109375" customWidth="1"/>
    <col min="9739" max="9739" width="31.28515625" customWidth="1"/>
    <col min="9740" max="9740" width="17" customWidth="1"/>
    <col min="9741" max="9741" width="31.28515625" customWidth="1"/>
    <col min="9742" max="9750" width="0" hidden="1" customWidth="1"/>
    <col min="9751" max="9751" width="16.7109375" customWidth="1"/>
    <col min="9752" max="9752" width="17.85546875" customWidth="1"/>
    <col min="9753" max="9753" width="27.140625" customWidth="1"/>
    <col min="9754" max="9754" width="47.140625" bestFit="1" customWidth="1"/>
    <col min="9755" max="9755" width="27.5703125" customWidth="1"/>
    <col min="9756" max="9756" width="33.140625" bestFit="1" customWidth="1"/>
    <col min="9757" max="9757" width="32.5703125" customWidth="1"/>
    <col min="9758" max="9764" width="0" hidden="1" customWidth="1"/>
    <col min="9765" max="9765" width="36.42578125" customWidth="1"/>
    <col min="9766" max="9767" width="0" hidden="1" customWidth="1"/>
    <col min="9768" max="9768" width="36.42578125" customWidth="1"/>
    <col min="9769" max="9775" width="0" hidden="1" customWidth="1"/>
    <col min="9776" max="9776" width="11.5703125" customWidth="1"/>
    <col min="9973" max="9975" width="0" hidden="1" customWidth="1"/>
    <col min="9976" max="9976" width="16.140625" customWidth="1"/>
    <col min="9977" max="9980" width="0" hidden="1" customWidth="1"/>
    <col min="9981" max="9981" width="53.28515625" customWidth="1"/>
    <col min="9982" max="9982" width="36.5703125" customWidth="1"/>
    <col min="9983" max="9983" width="35" bestFit="1" customWidth="1"/>
    <col min="9984" max="9984" width="36.5703125" customWidth="1"/>
    <col min="9985" max="9985" width="36.7109375" customWidth="1"/>
    <col min="9986" max="9986" width="35.42578125" customWidth="1"/>
    <col min="9987" max="9987" width="31.28515625" customWidth="1"/>
    <col min="9988" max="9989" width="29" customWidth="1"/>
    <col min="9990" max="9990" width="31.28515625" customWidth="1"/>
    <col min="9991" max="9992" width="0" hidden="1" customWidth="1"/>
    <col min="9993" max="9994" width="16.7109375" customWidth="1"/>
    <col min="9995" max="9995" width="31.28515625" customWidth="1"/>
    <col min="9996" max="9996" width="17" customWidth="1"/>
    <col min="9997" max="9997" width="31.28515625" customWidth="1"/>
    <col min="9998" max="10006" width="0" hidden="1" customWidth="1"/>
    <col min="10007" max="10007" width="16.7109375" customWidth="1"/>
    <col min="10008" max="10008" width="17.85546875" customWidth="1"/>
    <col min="10009" max="10009" width="27.140625" customWidth="1"/>
    <col min="10010" max="10010" width="47.140625" bestFit="1" customWidth="1"/>
    <col min="10011" max="10011" width="27.5703125" customWidth="1"/>
    <col min="10012" max="10012" width="33.140625" bestFit="1" customWidth="1"/>
    <col min="10013" max="10013" width="32.5703125" customWidth="1"/>
    <col min="10014" max="10020" width="0" hidden="1" customWidth="1"/>
    <col min="10021" max="10021" width="36.42578125" customWidth="1"/>
    <col min="10022" max="10023" width="0" hidden="1" customWidth="1"/>
    <col min="10024" max="10024" width="36.42578125" customWidth="1"/>
    <col min="10025" max="10031" width="0" hidden="1" customWidth="1"/>
    <col min="10032" max="10032" width="11.5703125" customWidth="1"/>
    <col min="10229" max="10231" width="0" hidden="1" customWidth="1"/>
    <col min="10232" max="10232" width="16.140625" customWidth="1"/>
    <col min="10233" max="10236" width="0" hidden="1" customWidth="1"/>
    <col min="10237" max="10237" width="53.28515625" customWidth="1"/>
    <col min="10238" max="10238" width="36.5703125" customWidth="1"/>
    <col min="10239" max="10239" width="35" bestFit="1" customWidth="1"/>
    <col min="10240" max="10240" width="36.5703125" customWidth="1"/>
    <col min="10241" max="10241" width="36.7109375" customWidth="1"/>
    <col min="10242" max="10242" width="35.42578125" customWidth="1"/>
    <col min="10243" max="10243" width="31.28515625" customWidth="1"/>
    <col min="10244" max="10245" width="29" customWidth="1"/>
    <col min="10246" max="10246" width="31.28515625" customWidth="1"/>
    <col min="10247" max="10248" width="0" hidden="1" customWidth="1"/>
    <col min="10249" max="10250" width="16.7109375" customWidth="1"/>
    <col min="10251" max="10251" width="31.28515625" customWidth="1"/>
    <col min="10252" max="10252" width="17" customWidth="1"/>
    <col min="10253" max="10253" width="31.28515625" customWidth="1"/>
    <col min="10254" max="10262" width="0" hidden="1" customWidth="1"/>
    <col min="10263" max="10263" width="16.7109375" customWidth="1"/>
    <col min="10264" max="10264" width="17.85546875" customWidth="1"/>
    <col min="10265" max="10265" width="27.140625" customWidth="1"/>
    <col min="10266" max="10266" width="47.140625" bestFit="1" customWidth="1"/>
    <col min="10267" max="10267" width="27.5703125" customWidth="1"/>
    <col min="10268" max="10268" width="33.140625" bestFit="1" customWidth="1"/>
    <col min="10269" max="10269" width="32.5703125" customWidth="1"/>
    <col min="10270" max="10276" width="0" hidden="1" customWidth="1"/>
    <col min="10277" max="10277" width="36.42578125" customWidth="1"/>
    <col min="10278" max="10279" width="0" hidden="1" customWidth="1"/>
    <col min="10280" max="10280" width="36.42578125" customWidth="1"/>
    <col min="10281" max="10287" width="0" hidden="1" customWidth="1"/>
    <col min="10288" max="10288" width="11.5703125" customWidth="1"/>
    <col min="10485" max="10487" width="0" hidden="1" customWidth="1"/>
    <col min="10488" max="10488" width="16.140625" customWidth="1"/>
    <col min="10489" max="10492" width="0" hidden="1" customWidth="1"/>
    <col min="10493" max="10493" width="53.28515625" customWidth="1"/>
    <col min="10494" max="10494" width="36.5703125" customWidth="1"/>
    <col min="10495" max="10495" width="35" bestFit="1" customWidth="1"/>
    <col min="10496" max="10496" width="36.5703125" customWidth="1"/>
    <col min="10497" max="10497" width="36.7109375" customWidth="1"/>
    <col min="10498" max="10498" width="35.42578125" customWidth="1"/>
    <col min="10499" max="10499" width="31.28515625" customWidth="1"/>
    <col min="10500" max="10501" width="29" customWidth="1"/>
    <col min="10502" max="10502" width="31.28515625" customWidth="1"/>
    <col min="10503" max="10504" width="0" hidden="1" customWidth="1"/>
    <col min="10505" max="10506" width="16.7109375" customWidth="1"/>
    <col min="10507" max="10507" width="31.28515625" customWidth="1"/>
    <col min="10508" max="10508" width="17" customWidth="1"/>
    <col min="10509" max="10509" width="31.28515625" customWidth="1"/>
    <col min="10510" max="10518" width="0" hidden="1" customWidth="1"/>
    <col min="10519" max="10519" width="16.7109375" customWidth="1"/>
    <col min="10520" max="10520" width="17.85546875" customWidth="1"/>
    <col min="10521" max="10521" width="27.140625" customWidth="1"/>
    <col min="10522" max="10522" width="47.140625" bestFit="1" customWidth="1"/>
    <col min="10523" max="10523" width="27.5703125" customWidth="1"/>
    <col min="10524" max="10524" width="33.140625" bestFit="1" customWidth="1"/>
    <col min="10525" max="10525" width="32.5703125" customWidth="1"/>
    <col min="10526" max="10532" width="0" hidden="1" customWidth="1"/>
    <col min="10533" max="10533" width="36.42578125" customWidth="1"/>
    <col min="10534" max="10535" width="0" hidden="1" customWidth="1"/>
    <col min="10536" max="10536" width="36.42578125" customWidth="1"/>
    <col min="10537" max="10543" width="0" hidden="1" customWidth="1"/>
    <col min="10544" max="10544" width="11.5703125" customWidth="1"/>
    <col min="10741" max="10743" width="0" hidden="1" customWidth="1"/>
    <col min="10744" max="10744" width="16.140625" customWidth="1"/>
    <col min="10745" max="10748" width="0" hidden="1" customWidth="1"/>
    <col min="10749" max="10749" width="53.28515625" customWidth="1"/>
    <col min="10750" max="10750" width="36.5703125" customWidth="1"/>
    <col min="10751" max="10751" width="35" bestFit="1" customWidth="1"/>
    <col min="10752" max="10752" width="36.5703125" customWidth="1"/>
    <col min="10753" max="10753" width="36.7109375" customWidth="1"/>
    <col min="10754" max="10754" width="35.42578125" customWidth="1"/>
    <col min="10755" max="10755" width="31.28515625" customWidth="1"/>
    <col min="10756" max="10757" width="29" customWidth="1"/>
    <col min="10758" max="10758" width="31.28515625" customWidth="1"/>
    <col min="10759" max="10760" width="0" hidden="1" customWidth="1"/>
    <col min="10761" max="10762" width="16.7109375" customWidth="1"/>
    <col min="10763" max="10763" width="31.28515625" customWidth="1"/>
    <col min="10764" max="10764" width="17" customWidth="1"/>
    <col min="10765" max="10765" width="31.28515625" customWidth="1"/>
    <col min="10766" max="10774" width="0" hidden="1" customWidth="1"/>
    <col min="10775" max="10775" width="16.7109375" customWidth="1"/>
    <col min="10776" max="10776" width="17.85546875" customWidth="1"/>
    <col min="10777" max="10777" width="27.140625" customWidth="1"/>
    <col min="10778" max="10778" width="47.140625" bestFit="1" customWidth="1"/>
    <col min="10779" max="10779" width="27.5703125" customWidth="1"/>
    <col min="10780" max="10780" width="33.140625" bestFit="1" customWidth="1"/>
    <col min="10781" max="10781" width="32.5703125" customWidth="1"/>
    <col min="10782" max="10788" width="0" hidden="1" customWidth="1"/>
    <col min="10789" max="10789" width="36.42578125" customWidth="1"/>
    <col min="10790" max="10791" width="0" hidden="1" customWidth="1"/>
    <col min="10792" max="10792" width="36.42578125" customWidth="1"/>
    <col min="10793" max="10799" width="0" hidden="1" customWidth="1"/>
    <col min="10800" max="10800" width="11.5703125" customWidth="1"/>
    <col min="10997" max="10999" width="0" hidden="1" customWidth="1"/>
    <col min="11000" max="11000" width="16.140625" customWidth="1"/>
    <col min="11001" max="11004" width="0" hidden="1" customWidth="1"/>
    <col min="11005" max="11005" width="53.28515625" customWidth="1"/>
    <col min="11006" max="11006" width="36.5703125" customWidth="1"/>
    <col min="11007" max="11007" width="35" bestFit="1" customWidth="1"/>
    <col min="11008" max="11008" width="36.5703125" customWidth="1"/>
    <col min="11009" max="11009" width="36.7109375" customWidth="1"/>
    <col min="11010" max="11010" width="35.42578125" customWidth="1"/>
    <col min="11011" max="11011" width="31.28515625" customWidth="1"/>
    <col min="11012" max="11013" width="29" customWidth="1"/>
    <col min="11014" max="11014" width="31.28515625" customWidth="1"/>
    <col min="11015" max="11016" width="0" hidden="1" customWidth="1"/>
    <col min="11017" max="11018" width="16.7109375" customWidth="1"/>
    <col min="11019" max="11019" width="31.28515625" customWidth="1"/>
    <col min="11020" max="11020" width="17" customWidth="1"/>
    <col min="11021" max="11021" width="31.28515625" customWidth="1"/>
    <col min="11022" max="11030" width="0" hidden="1" customWidth="1"/>
    <col min="11031" max="11031" width="16.7109375" customWidth="1"/>
    <col min="11032" max="11032" width="17.85546875" customWidth="1"/>
    <col min="11033" max="11033" width="27.140625" customWidth="1"/>
    <col min="11034" max="11034" width="47.140625" bestFit="1" customWidth="1"/>
    <col min="11035" max="11035" width="27.5703125" customWidth="1"/>
    <col min="11036" max="11036" width="33.140625" bestFit="1" customWidth="1"/>
    <col min="11037" max="11037" width="32.5703125" customWidth="1"/>
    <col min="11038" max="11044" width="0" hidden="1" customWidth="1"/>
    <col min="11045" max="11045" width="36.42578125" customWidth="1"/>
    <col min="11046" max="11047" width="0" hidden="1" customWidth="1"/>
    <col min="11048" max="11048" width="36.42578125" customWidth="1"/>
    <col min="11049" max="11055" width="0" hidden="1" customWidth="1"/>
    <col min="11056" max="11056" width="11.5703125" customWidth="1"/>
    <col min="11253" max="11255" width="0" hidden="1" customWidth="1"/>
    <col min="11256" max="11256" width="16.140625" customWidth="1"/>
    <col min="11257" max="11260" width="0" hidden="1" customWidth="1"/>
    <col min="11261" max="11261" width="53.28515625" customWidth="1"/>
    <col min="11262" max="11262" width="36.5703125" customWidth="1"/>
    <col min="11263" max="11263" width="35" bestFit="1" customWidth="1"/>
    <col min="11264" max="11264" width="36.5703125" customWidth="1"/>
    <col min="11265" max="11265" width="36.7109375" customWidth="1"/>
    <col min="11266" max="11266" width="35.42578125" customWidth="1"/>
    <col min="11267" max="11267" width="31.28515625" customWidth="1"/>
    <col min="11268" max="11269" width="29" customWidth="1"/>
    <col min="11270" max="11270" width="31.28515625" customWidth="1"/>
    <col min="11271" max="11272" width="0" hidden="1" customWidth="1"/>
    <col min="11273" max="11274" width="16.7109375" customWidth="1"/>
    <col min="11275" max="11275" width="31.28515625" customWidth="1"/>
    <col min="11276" max="11276" width="17" customWidth="1"/>
    <col min="11277" max="11277" width="31.28515625" customWidth="1"/>
    <col min="11278" max="11286" width="0" hidden="1" customWidth="1"/>
    <col min="11287" max="11287" width="16.7109375" customWidth="1"/>
    <col min="11288" max="11288" width="17.85546875" customWidth="1"/>
    <col min="11289" max="11289" width="27.140625" customWidth="1"/>
    <col min="11290" max="11290" width="47.140625" bestFit="1" customWidth="1"/>
    <col min="11291" max="11291" width="27.5703125" customWidth="1"/>
    <col min="11292" max="11292" width="33.140625" bestFit="1" customWidth="1"/>
    <col min="11293" max="11293" width="32.5703125" customWidth="1"/>
    <col min="11294" max="11300" width="0" hidden="1" customWidth="1"/>
    <col min="11301" max="11301" width="36.42578125" customWidth="1"/>
    <col min="11302" max="11303" width="0" hidden="1" customWidth="1"/>
    <col min="11304" max="11304" width="36.42578125" customWidth="1"/>
    <col min="11305" max="11311" width="0" hidden="1" customWidth="1"/>
    <col min="11312" max="11312" width="11.5703125" customWidth="1"/>
    <col min="11509" max="11511" width="0" hidden="1" customWidth="1"/>
    <col min="11512" max="11512" width="16.140625" customWidth="1"/>
    <col min="11513" max="11516" width="0" hidden="1" customWidth="1"/>
    <col min="11517" max="11517" width="53.28515625" customWidth="1"/>
    <col min="11518" max="11518" width="36.5703125" customWidth="1"/>
    <col min="11519" max="11519" width="35" bestFit="1" customWidth="1"/>
    <col min="11520" max="11520" width="36.5703125" customWidth="1"/>
    <col min="11521" max="11521" width="36.7109375" customWidth="1"/>
    <col min="11522" max="11522" width="35.42578125" customWidth="1"/>
    <col min="11523" max="11523" width="31.28515625" customWidth="1"/>
    <col min="11524" max="11525" width="29" customWidth="1"/>
    <col min="11526" max="11526" width="31.28515625" customWidth="1"/>
    <col min="11527" max="11528" width="0" hidden="1" customWidth="1"/>
    <col min="11529" max="11530" width="16.7109375" customWidth="1"/>
    <col min="11531" max="11531" width="31.28515625" customWidth="1"/>
    <col min="11532" max="11532" width="17" customWidth="1"/>
    <col min="11533" max="11533" width="31.28515625" customWidth="1"/>
    <col min="11534" max="11542" width="0" hidden="1" customWidth="1"/>
    <col min="11543" max="11543" width="16.7109375" customWidth="1"/>
    <col min="11544" max="11544" width="17.85546875" customWidth="1"/>
    <col min="11545" max="11545" width="27.140625" customWidth="1"/>
    <col min="11546" max="11546" width="47.140625" bestFit="1" customWidth="1"/>
    <col min="11547" max="11547" width="27.5703125" customWidth="1"/>
    <col min="11548" max="11548" width="33.140625" bestFit="1" customWidth="1"/>
    <col min="11549" max="11549" width="32.5703125" customWidth="1"/>
    <col min="11550" max="11556" width="0" hidden="1" customWidth="1"/>
    <col min="11557" max="11557" width="36.42578125" customWidth="1"/>
    <col min="11558" max="11559" width="0" hidden="1" customWidth="1"/>
    <col min="11560" max="11560" width="36.42578125" customWidth="1"/>
    <col min="11561" max="11567" width="0" hidden="1" customWidth="1"/>
    <col min="11568" max="11568" width="11.5703125" customWidth="1"/>
    <col min="11765" max="11767" width="0" hidden="1" customWidth="1"/>
    <col min="11768" max="11768" width="16.140625" customWidth="1"/>
    <col min="11769" max="11772" width="0" hidden="1" customWidth="1"/>
    <col min="11773" max="11773" width="53.28515625" customWidth="1"/>
    <col min="11774" max="11774" width="36.5703125" customWidth="1"/>
    <col min="11775" max="11775" width="35" bestFit="1" customWidth="1"/>
    <col min="11776" max="11776" width="36.5703125" customWidth="1"/>
    <col min="11777" max="11777" width="36.7109375" customWidth="1"/>
    <col min="11778" max="11778" width="35.42578125" customWidth="1"/>
    <col min="11779" max="11779" width="31.28515625" customWidth="1"/>
    <col min="11780" max="11781" width="29" customWidth="1"/>
    <col min="11782" max="11782" width="31.28515625" customWidth="1"/>
    <col min="11783" max="11784" width="0" hidden="1" customWidth="1"/>
    <col min="11785" max="11786" width="16.7109375" customWidth="1"/>
    <col min="11787" max="11787" width="31.28515625" customWidth="1"/>
    <col min="11788" max="11788" width="17" customWidth="1"/>
    <col min="11789" max="11789" width="31.28515625" customWidth="1"/>
    <col min="11790" max="11798" width="0" hidden="1" customWidth="1"/>
    <col min="11799" max="11799" width="16.7109375" customWidth="1"/>
    <col min="11800" max="11800" width="17.85546875" customWidth="1"/>
    <col min="11801" max="11801" width="27.140625" customWidth="1"/>
    <col min="11802" max="11802" width="47.140625" bestFit="1" customWidth="1"/>
    <col min="11803" max="11803" width="27.5703125" customWidth="1"/>
    <col min="11804" max="11804" width="33.140625" bestFit="1" customWidth="1"/>
    <col min="11805" max="11805" width="32.5703125" customWidth="1"/>
    <col min="11806" max="11812" width="0" hidden="1" customWidth="1"/>
    <col min="11813" max="11813" width="36.42578125" customWidth="1"/>
    <col min="11814" max="11815" width="0" hidden="1" customWidth="1"/>
    <col min="11816" max="11816" width="36.42578125" customWidth="1"/>
    <col min="11817" max="11823" width="0" hidden="1" customWidth="1"/>
    <col min="11824" max="11824" width="11.5703125" customWidth="1"/>
    <col min="12021" max="12023" width="0" hidden="1" customWidth="1"/>
    <col min="12024" max="12024" width="16.140625" customWidth="1"/>
    <col min="12025" max="12028" width="0" hidden="1" customWidth="1"/>
    <col min="12029" max="12029" width="53.28515625" customWidth="1"/>
    <col min="12030" max="12030" width="36.5703125" customWidth="1"/>
    <col min="12031" max="12031" width="35" bestFit="1" customWidth="1"/>
    <col min="12032" max="12032" width="36.5703125" customWidth="1"/>
    <col min="12033" max="12033" width="36.7109375" customWidth="1"/>
    <col min="12034" max="12034" width="35.42578125" customWidth="1"/>
    <col min="12035" max="12035" width="31.28515625" customWidth="1"/>
    <col min="12036" max="12037" width="29" customWidth="1"/>
    <col min="12038" max="12038" width="31.28515625" customWidth="1"/>
    <col min="12039" max="12040" width="0" hidden="1" customWidth="1"/>
    <col min="12041" max="12042" width="16.7109375" customWidth="1"/>
    <col min="12043" max="12043" width="31.28515625" customWidth="1"/>
    <col min="12044" max="12044" width="17" customWidth="1"/>
    <col min="12045" max="12045" width="31.28515625" customWidth="1"/>
    <col min="12046" max="12054" width="0" hidden="1" customWidth="1"/>
    <col min="12055" max="12055" width="16.7109375" customWidth="1"/>
    <col min="12056" max="12056" width="17.85546875" customWidth="1"/>
    <col min="12057" max="12057" width="27.140625" customWidth="1"/>
    <col min="12058" max="12058" width="47.140625" bestFit="1" customWidth="1"/>
    <col min="12059" max="12059" width="27.5703125" customWidth="1"/>
    <col min="12060" max="12060" width="33.140625" bestFit="1" customWidth="1"/>
    <col min="12061" max="12061" width="32.5703125" customWidth="1"/>
    <col min="12062" max="12068" width="0" hidden="1" customWidth="1"/>
    <col min="12069" max="12069" width="36.42578125" customWidth="1"/>
    <col min="12070" max="12071" width="0" hidden="1" customWidth="1"/>
    <col min="12072" max="12072" width="36.42578125" customWidth="1"/>
    <col min="12073" max="12079" width="0" hidden="1" customWidth="1"/>
    <col min="12080" max="12080" width="11.5703125" customWidth="1"/>
    <col min="12277" max="12279" width="0" hidden="1" customWidth="1"/>
    <col min="12280" max="12280" width="16.140625" customWidth="1"/>
    <col min="12281" max="12284" width="0" hidden="1" customWidth="1"/>
    <col min="12285" max="12285" width="53.28515625" customWidth="1"/>
    <col min="12286" max="12286" width="36.5703125" customWidth="1"/>
    <col min="12287" max="12287" width="35" bestFit="1" customWidth="1"/>
    <col min="12288" max="12288" width="36.5703125" customWidth="1"/>
    <col min="12289" max="12289" width="36.7109375" customWidth="1"/>
    <col min="12290" max="12290" width="35.42578125" customWidth="1"/>
    <col min="12291" max="12291" width="31.28515625" customWidth="1"/>
    <col min="12292" max="12293" width="29" customWidth="1"/>
    <col min="12294" max="12294" width="31.28515625" customWidth="1"/>
    <col min="12295" max="12296" width="0" hidden="1" customWidth="1"/>
    <col min="12297" max="12298" width="16.7109375" customWidth="1"/>
    <col min="12299" max="12299" width="31.28515625" customWidth="1"/>
    <col min="12300" max="12300" width="17" customWidth="1"/>
    <col min="12301" max="12301" width="31.28515625" customWidth="1"/>
    <col min="12302" max="12310" width="0" hidden="1" customWidth="1"/>
    <col min="12311" max="12311" width="16.7109375" customWidth="1"/>
    <col min="12312" max="12312" width="17.85546875" customWidth="1"/>
    <col min="12313" max="12313" width="27.140625" customWidth="1"/>
    <col min="12314" max="12314" width="47.140625" bestFit="1" customWidth="1"/>
    <col min="12315" max="12315" width="27.5703125" customWidth="1"/>
    <col min="12316" max="12316" width="33.140625" bestFit="1" customWidth="1"/>
    <col min="12317" max="12317" width="32.5703125" customWidth="1"/>
    <col min="12318" max="12324" width="0" hidden="1" customWidth="1"/>
    <col min="12325" max="12325" width="36.42578125" customWidth="1"/>
    <col min="12326" max="12327" width="0" hidden="1" customWidth="1"/>
    <col min="12328" max="12328" width="36.42578125" customWidth="1"/>
    <col min="12329" max="12335" width="0" hidden="1" customWidth="1"/>
    <col min="12336" max="12336" width="11.5703125" customWidth="1"/>
    <col min="12533" max="12535" width="0" hidden="1" customWidth="1"/>
    <col min="12536" max="12536" width="16.140625" customWidth="1"/>
    <col min="12537" max="12540" width="0" hidden="1" customWidth="1"/>
    <col min="12541" max="12541" width="53.28515625" customWidth="1"/>
    <col min="12542" max="12542" width="36.5703125" customWidth="1"/>
    <col min="12543" max="12543" width="35" bestFit="1" customWidth="1"/>
    <col min="12544" max="12544" width="36.5703125" customWidth="1"/>
    <col min="12545" max="12545" width="36.7109375" customWidth="1"/>
    <col min="12546" max="12546" width="35.42578125" customWidth="1"/>
    <col min="12547" max="12547" width="31.28515625" customWidth="1"/>
    <col min="12548" max="12549" width="29" customWidth="1"/>
    <col min="12550" max="12550" width="31.28515625" customWidth="1"/>
    <col min="12551" max="12552" width="0" hidden="1" customWidth="1"/>
    <col min="12553" max="12554" width="16.7109375" customWidth="1"/>
    <col min="12555" max="12555" width="31.28515625" customWidth="1"/>
    <col min="12556" max="12556" width="17" customWidth="1"/>
    <col min="12557" max="12557" width="31.28515625" customWidth="1"/>
    <col min="12558" max="12566" width="0" hidden="1" customWidth="1"/>
    <col min="12567" max="12567" width="16.7109375" customWidth="1"/>
    <col min="12568" max="12568" width="17.85546875" customWidth="1"/>
    <col min="12569" max="12569" width="27.140625" customWidth="1"/>
    <col min="12570" max="12570" width="47.140625" bestFit="1" customWidth="1"/>
    <col min="12571" max="12571" width="27.5703125" customWidth="1"/>
    <col min="12572" max="12572" width="33.140625" bestFit="1" customWidth="1"/>
    <col min="12573" max="12573" width="32.5703125" customWidth="1"/>
    <col min="12574" max="12580" width="0" hidden="1" customWidth="1"/>
    <col min="12581" max="12581" width="36.42578125" customWidth="1"/>
    <col min="12582" max="12583" width="0" hidden="1" customWidth="1"/>
    <col min="12584" max="12584" width="36.42578125" customWidth="1"/>
    <col min="12585" max="12591" width="0" hidden="1" customWidth="1"/>
    <col min="12592" max="12592" width="11.5703125" customWidth="1"/>
    <col min="12789" max="12791" width="0" hidden="1" customWidth="1"/>
    <col min="12792" max="12792" width="16.140625" customWidth="1"/>
    <col min="12793" max="12796" width="0" hidden="1" customWidth="1"/>
    <col min="12797" max="12797" width="53.28515625" customWidth="1"/>
    <col min="12798" max="12798" width="36.5703125" customWidth="1"/>
    <col min="12799" max="12799" width="35" bestFit="1" customWidth="1"/>
    <col min="12800" max="12800" width="36.5703125" customWidth="1"/>
    <col min="12801" max="12801" width="36.7109375" customWidth="1"/>
    <col min="12802" max="12802" width="35.42578125" customWidth="1"/>
    <col min="12803" max="12803" width="31.28515625" customWidth="1"/>
    <col min="12804" max="12805" width="29" customWidth="1"/>
    <col min="12806" max="12806" width="31.28515625" customWidth="1"/>
    <col min="12807" max="12808" width="0" hidden="1" customWidth="1"/>
    <col min="12809" max="12810" width="16.7109375" customWidth="1"/>
    <col min="12811" max="12811" width="31.28515625" customWidth="1"/>
    <col min="12812" max="12812" width="17" customWidth="1"/>
    <col min="12813" max="12813" width="31.28515625" customWidth="1"/>
    <col min="12814" max="12822" width="0" hidden="1" customWidth="1"/>
    <col min="12823" max="12823" width="16.7109375" customWidth="1"/>
    <col min="12824" max="12824" width="17.85546875" customWidth="1"/>
    <col min="12825" max="12825" width="27.140625" customWidth="1"/>
    <col min="12826" max="12826" width="47.140625" bestFit="1" customWidth="1"/>
    <col min="12827" max="12827" width="27.5703125" customWidth="1"/>
    <col min="12828" max="12828" width="33.140625" bestFit="1" customWidth="1"/>
    <col min="12829" max="12829" width="32.5703125" customWidth="1"/>
    <col min="12830" max="12836" width="0" hidden="1" customWidth="1"/>
    <col min="12837" max="12837" width="36.42578125" customWidth="1"/>
    <col min="12838" max="12839" width="0" hidden="1" customWidth="1"/>
    <col min="12840" max="12840" width="36.42578125" customWidth="1"/>
    <col min="12841" max="12847" width="0" hidden="1" customWidth="1"/>
    <col min="12848" max="12848" width="11.5703125" customWidth="1"/>
    <col min="13045" max="13047" width="0" hidden="1" customWidth="1"/>
    <col min="13048" max="13048" width="16.140625" customWidth="1"/>
    <col min="13049" max="13052" width="0" hidden="1" customWidth="1"/>
    <col min="13053" max="13053" width="53.28515625" customWidth="1"/>
    <col min="13054" max="13054" width="36.5703125" customWidth="1"/>
    <col min="13055" max="13055" width="35" bestFit="1" customWidth="1"/>
    <col min="13056" max="13056" width="36.5703125" customWidth="1"/>
    <col min="13057" max="13057" width="36.7109375" customWidth="1"/>
    <col min="13058" max="13058" width="35.42578125" customWidth="1"/>
    <col min="13059" max="13059" width="31.28515625" customWidth="1"/>
    <col min="13060" max="13061" width="29" customWidth="1"/>
    <col min="13062" max="13062" width="31.28515625" customWidth="1"/>
    <col min="13063" max="13064" width="0" hidden="1" customWidth="1"/>
    <col min="13065" max="13066" width="16.7109375" customWidth="1"/>
    <col min="13067" max="13067" width="31.28515625" customWidth="1"/>
    <col min="13068" max="13068" width="17" customWidth="1"/>
    <col min="13069" max="13069" width="31.28515625" customWidth="1"/>
    <col min="13070" max="13078" width="0" hidden="1" customWidth="1"/>
    <col min="13079" max="13079" width="16.7109375" customWidth="1"/>
    <col min="13080" max="13080" width="17.85546875" customWidth="1"/>
    <col min="13081" max="13081" width="27.140625" customWidth="1"/>
    <col min="13082" max="13082" width="47.140625" bestFit="1" customWidth="1"/>
    <col min="13083" max="13083" width="27.5703125" customWidth="1"/>
    <col min="13084" max="13084" width="33.140625" bestFit="1" customWidth="1"/>
    <col min="13085" max="13085" width="32.5703125" customWidth="1"/>
    <col min="13086" max="13092" width="0" hidden="1" customWidth="1"/>
    <col min="13093" max="13093" width="36.42578125" customWidth="1"/>
    <col min="13094" max="13095" width="0" hidden="1" customWidth="1"/>
    <col min="13096" max="13096" width="36.42578125" customWidth="1"/>
    <col min="13097" max="13103" width="0" hidden="1" customWidth="1"/>
    <col min="13104" max="13104" width="11.5703125" customWidth="1"/>
    <col min="13301" max="13303" width="0" hidden="1" customWidth="1"/>
    <col min="13304" max="13304" width="16.140625" customWidth="1"/>
    <col min="13305" max="13308" width="0" hidden="1" customWidth="1"/>
    <col min="13309" max="13309" width="53.28515625" customWidth="1"/>
    <col min="13310" max="13310" width="36.5703125" customWidth="1"/>
    <col min="13311" max="13311" width="35" bestFit="1" customWidth="1"/>
    <col min="13312" max="13312" width="36.5703125" customWidth="1"/>
    <col min="13313" max="13313" width="36.7109375" customWidth="1"/>
    <col min="13314" max="13314" width="35.42578125" customWidth="1"/>
    <col min="13315" max="13315" width="31.28515625" customWidth="1"/>
    <col min="13316" max="13317" width="29" customWidth="1"/>
    <col min="13318" max="13318" width="31.28515625" customWidth="1"/>
    <col min="13319" max="13320" width="0" hidden="1" customWidth="1"/>
    <col min="13321" max="13322" width="16.7109375" customWidth="1"/>
    <col min="13323" max="13323" width="31.28515625" customWidth="1"/>
    <col min="13324" max="13324" width="17" customWidth="1"/>
    <col min="13325" max="13325" width="31.28515625" customWidth="1"/>
    <col min="13326" max="13334" width="0" hidden="1" customWidth="1"/>
    <col min="13335" max="13335" width="16.7109375" customWidth="1"/>
    <col min="13336" max="13336" width="17.85546875" customWidth="1"/>
    <col min="13337" max="13337" width="27.140625" customWidth="1"/>
    <col min="13338" max="13338" width="47.140625" bestFit="1" customWidth="1"/>
    <col min="13339" max="13339" width="27.5703125" customWidth="1"/>
    <col min="13340" max="13340" width="33.140625" bestFit="1" customWidth="1"/>
    <col min="13341" max="13341" width="32.5703125" customWidth="1"/>
    <col min="13342" max="13348" width="0" hidden="1" customWidth="1"/>
    <col min="13349" max="13349" width="36.42578125" customWidth="1"/>
    <col min="13350" max="13351" width="0" hidden="1" customWidth="1"/>
    <col min="13352" max="13352" width="36.42578125" customWidth="1"/>
    <col min="13353" max="13359" width="0" hidden="1" customWidth="1"/>
    <col min="13360" max="13360" width="11.5703125" customWidth="1"/>
    <col min="13557" max="13559" width="0" hidden="1" customWidth="1"/>
    <col min="13560" max="13560" width="16.140625" customWidth="1"/>
    <col min="13561" max="13564" width="0" hidden="1" customWidth="1"/>
    <col min="13565" max="13565" width="53.28515625" customWidth="1"/>
    <col min="13566" max="13566" width="36.5703125" customWidth="1"/>
    <col min="13567" max="13567" width="35" bestFit="1" customWidth="1"/>
    <col min="13568" max="13568" width="36.5703125" customWidth="1"/>
    <col min="13569" max="13569" width="36.7109375" customWidth="1"/>
    <col min="13570" max="13570" width="35.42578125" customWidth="1"/>
    <col min="13571" max="13571" width="31.28515625" customWidth="1"/>
    <col min="13572" max="13573" width="29" customWidth="1"/>
    <col min="13574" max="13574" width="31.28515625" customWidth="1"/>
    <col min="13575" max="13576" width="0" hidden="1" customWidth="1"/>
    <col min="13577" max="13578" width="16.7109375" customWidth="1"/>
    <col min="13579" max="13579" width="31.28515625" customWidth="1"/>
    <col min="13580" max="13580" width="17" customWidth="1"/>
    <col min="13581" max="13581" width="31.28515625" customWidth="1"/>
    <col min="13582" max="13590" width="0" hidden="1" customWidth="1"/>
    <col min="13591" max="13591" width="16.7109375" customWidth="1"/>
    <col min="13592" max="13592" width="17.85546875" customWidth="1"/>
    <col min="13593" max="13593" width="27.140625" customWidth="1"/>
    <col min="13594" max="13594" width="47.140625" bestFit="1" customWidth="1"/>
    <col min="13595" max="13595" width="27.5703125" customWidth="1"/>
    <col min="13596" max="13596" width="33.140625" bestFit="1" customWidth="1"/>
    <col min="13597" max="13597" width="32.5703125" customWidth="1"/>
    <col min="13598" max="13604" width="0" hidden="1" customWidth="1"/>
    <col min="13605" max="13605" width="36.42578125" customWidth="1"/>
    <col min="13606" max="13607" width="0" hidden="1" customWidth="1"/>
    <col min="13608" max="13608" width="36.42578125" customWidth="1"/>
    <col min="13609" max="13615" width="0" hidden="1" customWidth="1"/>
    <col min="13616" max="13616" width="11.5703125" customWidth="1"/>
    <col min="13813" max="13815" width="0" hidden="1" customWidth="1"/>
    <col min="13816" max="13816" width="16.140625" customWidth="1"/>
    <col min="13817" max="13820" width="0" hidden="1" customWidth="1"/>
    <col min="13821" max="13821" width="53.28515625" customWidth="1"/>
    <col min="13822" max="13822" width="36.5703125" customWidth="1"/>
    <col min="13823" max="13823" width="35" bestFit="1" customWidth="1"/>
    <col min="13824" max="13824" width="36.5703125" customWidth="1"/>
    <col min="13825" max="13825" width="36.7109375" customWidth="1"/>
    <col min="13826" max="13826" width="35.42578125" customWidth="1"/>
    <col min="13827" max="13827" width="31.28515625" customWidth="1"/>
    <col min="13828" max="13829" width="29" customWidth="1"/>
    <col min="13830" max="13830" width="31.28515625" customWidth="1"/>
    <col min="13831" max="13832" width="0" hidden="1" customWidth="1"/>
    <col min="13833" max="13834" width="16.7109375" customWidth="1"/>
    <col min="13835" max="13835" width="31.28515625" customWidth="1"/>
    <col min="13836" max="13836" width="17" customWidth="1"/>
    <col min="13837" max="13837" width="31.28515625" customWidth="1"/>
    <col min="13838" max="13846" width="0" hidden="1" customWidth="1"/>
    <col min="13847" max="13847" width="16.7109375" customWidth="1"/>
    <col min="13848" max="13848" width="17.85546875" customWidth="1"/>
    <col min="13849" max="13849" width="27.140625" customWidth="1"/>
    <col min="13850" max="13850" width="47.140625" bestFit="1" customWidth="1"/>
    <col min="13851" max="13851" width="27.5703125" customWidth="1"/>
    <col min="13852" max="13852" width="33.140625" bestFit="1" customWidth="1"/>
    <col min="13853" max="13853" width="32.5703125" customWidth="1"/>
    <col min="13854" max="13860" width="0" hidden="1" customWidth="1"/>
    <col min="13861" max="13861" width="36.42578125" customWidth="1"/>
    <col min="13862" max="13863" width="0" hidden="1" customWidth="1"/>
    <col min="13864" max="13864" width="36.42578125" customWidth="1"/>
    <col min="13865" max="13871" width="0" hidden="1" customWidth="1"/>
    <col min="13872" max="13872" width="11.5703125" customWidth="1"/>
    <col min="14069" max="14071" width="0" hidden="1" customWidth="1"/>
    <col min="14072" max="14072" width="16.140625" customWidth="1"/>
    <col min="14073" max="14076" width="0" hidden="1" customWidth="1"/>
    <col min="14077" max="14077" width="53.28515625" customWidth="1"/>
    <col min="14078" max="14078" width="36.5703125" customWidth="1"/>
    <col min="14079" max="14079" width="35" bestFit="1" customWidth="1"/>
    <col min="14080" max="14080" width="36.5703125" customWidth="1"/>
    <col min="14081" max="14081" width="36.7109375" customWidth="1"/>
    <col min="14082" max="14082" width="35.42578125" customWidth="1"/>
    <col min="14083" max="14083" width="31.28515625" customWidth="1"/>
    <col min="14084" max="14085" width="29" customWidth="1"/>
    <col min="14086" max="14086" width="31.28515625" customWidth="1"/>
    <col min="14087" max="14088" width="0" hidden="1" customWidth="1"/>
    <col min="14089" max="14090" width="16.7109375" customWidth="1"/>
    <col min="14091" max="14091" width="31.28515625" customWidth="1"/>
    <col min="14092" max="14092" width="17" customWidth="1"/>
    <col min="14093" max="14093" width="31.28515625" customWidth="1"/>
    <col min="14094" max="14102" width="0" hidden="1" customWidth="1"/>
    <col min="14103" max="14103" width="16.7109375" customWidth="1"/>
    <col min="14104" max="14104" width="17.85546875" customWidth="1"/>
    <col min="14105" max="14105" width="27.140625" customWidth="1"/>
    <col min="14106" max="14106" width="47.140625" bestFit="1" customWidth="1"/>
    <col min="14107" max="14107" width="27.5703125" customWidth="1"/>
    <col min="14108" max="14108" width="33.140625" bestFit="1" customWidth="1"/>
    <col min="14109" max="14109" width="32.5703125" customWidth="1"/>
    <col min="14110" max="14116" width="0" hidden="1" customWidth="1"/>
    <col min="14117" max="14117" width="36.42578125" customWidth="1"/>
    <col min="14118" max="14119" width="0" hidden="1" customWidth="1"/>
    <col min="14120" max="14120" width="36.42578125" customWidth="1"/>
    <col min="14121" max="14127" width="0" hidden="1" customWidth="1"/>
    <col min="14128" max="14128" width="11.5703125" customWidth="1"/>
    <col min="14325" max="14327" width="0" hidden="1" customWidth="1"/>
    <col min="14328" max="14328" width="16.140625" customWidth="1"/>
    <col min="14329" max="14332" width="0" hidden="1" customWidth="1"/>
    <col min="14333" max="14333" width="53.28515625" customWidth="1"/>
    <col min="14334" max="14334" width="36.5703125" customWidth="1"/>
    <col min="14335" max="14335" width="35" bestFit="1" customWidth="1"/>
    <col min="14336" max="14336" width="36.5703125" customWidth="1"/>
    <col min="14337" max="14337" width="36.7109375" customWidth="1"/>
    <col min="14338" max="14338" width="35.42578125" customWidth="1"/>
    <col min="14339" max="14339" width="31.28515625" customWidth="1"/>
    <col min="14340" max="14341" width="29" customWidth="1"/>
    <col min="14342" max="14342" width="31.28515625" customWidth="1"/>
    <col min="14343" max="14344" width="0" hidden="1" customWidth="1"/>
    <col min="14345" max="14346" width="16.7109375" customWidth="1"/>
    <col min="14347" max="14347" width="31.28515625" customWidth="1"/>
    <col min="14348" max="14348" width="17" customWidth="1"/>
    <col min="14349" max="14349" width="31.28515625" customWidth="1"/>
    <col min="14350" max="14358" width="0" hidden="1" customWidth="1"/>
    <col min="14359" max="14359" width="16.7109375" customWidth="1"/>
    <col min="14360" max="14360" width="17.85546875" customWidth="1"/>
    <col min="14361" max="14361" width="27.140625" customWidth="1"/>
    <col min="14362" max="14362" width="47.140625" bestFit="1" customWidth="1"/>
    <col min="14363" max="14363" width="27.5703125" customWidth="1"/>
    <col min="14364" max="14364" width="33.140625" bestFit="1" customWidth="1"/>
    <col min="14365" max="14365" width="32.5703125" customWidth="1"/>
    <col min="14366" max="14372" width="0" hidden="1" customWidth="1"/>
    <col min="14373" max="14373" width="36.42578125" customWidth="1"/>
    <col min="14374" max="14375" width="0" hidden="1" customWidth="1"/>
    <col min="14376" max="14376" width="36.42578125" customWidth="1"/>
    <col min="14377" max="14383" width="0" hidden="1" customWidth="1"/>
    <col min="14384" max="14384" width="11.5703125" customWidth="1"/>
    <col min="14581" max="14583" width="0" hidden="1" customWidth="1"/>
    <col min="14584" max="14584" width="16.140625" customWidth="1"/>
    <col min="14585" max="14588" width="0" hidden="1" customWidth="1"/>
    <col min="14589" max="14589" width="53.28515625" customWidth="1"/>
    <col min="14590" max="14590" width="36.5703125" customWidth="1"/>
    <col min="14591" max="14591" width="35" bestFit="1" customWidth="1"/>
    <col min="14592" max="14592" width="36.5703125" customWidth="1"/>
    <col min="14593" max="14593" width="36.7109375" customWidth="1"/>
    <col min="14594" max="14594" width="35.42578125" customWidth="1"/>
    <col min="14595" max="14595" width="31.28515625" customWidth="1"/>
    <col min="14596" max="14597" width="29" customWidth="1"/>
    <col min="14598" max="14598" width="31.28515625" customWidth="1"/>
    <col min="14599" max="14600" width="0" hidden="1" customWidth="1"/>
    <col min="14601" max="14602" width="16.7109375" customWidth="1"/>
    <col min="14603" max="14603" width="31.28515625" customWidth="1"/>
    <col min="14604" max="14604" width="17" customWidth="1"/>
    <col min="14605" max="14605" width="31.28515625" customWidth="1"/>
    <col min="14606" max="14614" width="0" hidden="1" customWidth="1"/>
    <col min="14615" max="14615" width="16.7109375" customWidth="1"/>
    <col min="14616" max="14616" width="17.85546875" customWidth="1"/>
    <col min="14617" max="14617" width="27.140625" customWidth="1"/>
    <col min="14618" max="14618" width="47.140625" bestFit="1" customWidth="1"/>
    <col min="14619" max="14619" width="27.5703125" customWidth="1"/>
    <col min="14620" max="14620" width="33.140625" bestFit="1" customWidth="1"/>
    <col min="14621" max="14621" width="32.5703125" customWidth="1"/>
    <col min="14622" max="14628" width="0" hidden="1" customWidth="1"/>
    <col min="14629" max="14629" width="36.42578125" customWidth="1"/>
    <col min="14630" max="14631" width="0" hidden="1" customWidth="1"/>
    <col min="14632" max="14632" width="36.42578125" customWidth="1"/>
    <col min="14633" max="14639" width="0" hidden="1" customWidth="1"/>
    <col min="14640" max="14640" width="11.5703125" customWidth="1"/>
    <col min="14837" max="14839" width="0" hidden="1" customWidth="1"/>
    <col min="14840" max="14840" width="16.140625" customWidth="1"/>
    <col min="14841" max="14844" width="0" hidden="1" customWidth="1"/>
    <col min="14845" max="14845" width="53.28515625" customWidth="1"/>
    <col min="14846" max="14846" width="36.5703125" customWidth="1"/>
    <col min="14847" max="14847" width="35" bestFit="1" customWidth="1"/>
    <col min="14848" max="14848" width="36.5703125" customWidth="1"/>
    <col min="14849" max="14849" width="36.7109375" customWidth="1"/>
    <col min="14850" max="14850" width="35.42578125" customWidth="1"/>
    <col min="14851" max="14851" width="31.28515625" customWidth="1"/>
    <col min="14852" max="14853" width="29" customWidth="1"/>
    <col min="14854" max="14854" width="31.28515625" customWidth="1"/>
    <col min="14855" max="14856" width="0" hidden="1" customWidth="1"/>
    <col min="14857" max="14858" width="16.7109375" customWidth="1"/>
    <col min="14859" max="14859" width="31.28515625" customWidth="1"/>
    <col min="14860" max="14860" width="17" customWidth="1"/>
    <col min="14861" max="14861" width="31.28515625" customWidth="1"/>
    <col min="14862" max="14870" width="0" hidden="1" customWidth="1"/>
    <col min="14871" max="14871" width="16.7109375" customWidth="1"/>
    <col min="14872" max="14872" width="17.85546875" customWidth="1"/>
    <col min="14873" max="14873" width="27.140625" customWidth="1"/>
    <col min="14874" max="14874" width="47.140625" bestFit="1" customWidth="1"/>
    <col min="14875" max="14875" width="27.5703125" customWidth="1"/>
    <col min="14876" max="14876" width="33.140625" bestFit="1" customWidth="1"/>
    <col min="14877" max="14877" width="32.5703125" customWidth="1"/>
    <col min="14878" max="14884" width="0" hidden="1" customWidth="1"/>
    <col min="14885" max="14885" width="36.42578125" customWidth="1"/>
    <col min="14886" max="14887" width="0" hidden="1" customWidth="1"/>
    <col min="14888" max="14888" width="36.42578125" customWidth="1"/>
    <col min="14889" max="14895" width="0" hidden="1" customWidth="1"/>
    <col min="14896" max="14896" width="11.5703125" customWidth="1"/>
    <col min="15093" max="15095" width="0" hidden="1" customWidth="1"/>
    <col min="15096" max="15096" width="16.140625" customWidth="1"/>
    <col min="15097" max="15100" width="0" hidden="1" customWidth="1"/>
    <col min="15101" max="15101" width="53.28515625" customWidth="1"/>
    <col min="15102" max="15102" width="36.5703125" customWidth="1"/>
    <col min="15103" max="15103" width="35" bestFit="1" customWidth="1"/>
    <col min="15104" max="15104" width="36.5703125" customWidth="1"/>
    <col min="15105" max="15105" width="36.7109375" customWidth="1"/>
    <col min="15106" max="15106" width="35.42578125" customWidth="1"/>
    <col min="15107" max="15107" width="31.28515625" customWidth="1"/>
    <col min="15108" max="15109" width="29" customWidth="1"/>
    <col min="15110" max="15110" width="31.28515625" customWidth="1"/>
    <col min="15111" max="15112" width="0" hidden="1" customWidth="1"/>
    <col min="15113" max="15114" width="16.7109375" customWidth="1"/>
    <col min="15115" max="15115" width="31.28515625" customWidth="1"/>
    <col min="15116" max="15116" width="17" customWidth="1"/>
    <col min="15117" max="15117" width="31.28515625" customWidth="1"/>
    <col min="15118" max="15126" width="0" hidden="1" customWidth="1"/>
    <col min="15127" max="15127" width="16.7109375" customWidth="1"/>
    <col min="15128" max="15128" width="17.85546875" customWidth="1"/>
    <col min="15129" max="15129" width="27.140625" customWidth="1"/>
    <col min="15130" max="15130" width="47.140625" bestFit="1" customWidth="1"/>
    <col min="15131" max="15131" width="27.5703125" customWidth="1"/>
    <col min="15132" max="15132" width="33.140625" bestFit="1" customWidth="1"/>
    <col min="15133" max="15133" width="32.5703125" customWidth="1"/>
    <col min="15134" max="15140" width="0" hidden="1" customWidth="1"/>
    <col min="15141" max="15141" width="36.42578125" customWidth="1"/>
    <col min="15142" max="15143" width="0" hidden="1" customWidth="1"/>
    <col min="15144" max="15144" width="36.42578125" customWidth="1"/>
    <col min="15145" max="15151" width="0" hidden="1" customWidth="1"/>
    <col min="15152" max="15152" width="11.5703125" customWidth="1"/>
    <col min="15349" max="15351" width="0" hidden="1" customWidth="1"/>
    <col min="15352" max="15352" width="16.140625" customWidth="1"/>
    <col min="15353" max="15356" width="0" hidden="1" customWidth="1"/>
    <col min="15357" max="15357" width="53.28515625" customWidth="1"/>
    <col min="15358" max="15358" width="36.5703125" customWidth="1"/>
    <col min="15359" max="15359" width="35" bestFit="1" customWidth="1"/>
    <col min="15360" max="15360" width="36.5703125" customWidth="1"/>
    <col min="15361" max="15361" width="36.7109375" customWidth="1"/>
    <col min="15362" max="15362" width="35.42578125" customWidth="1"/>
    <col min="15363" max="15363" width="31.28515625" customWidth="1"/>
    <col min="15364" max="15365" width="29" customWidth="1"/>
    <col min="15366" max="15366" width="31.28515625" customWidth="1"/>
    <col min="15367" max="15368" width="0" hidden="1" customWidth="1"/>
    <col min="15369" max="15370" width="16.7109375" customWidth="1"/>
    <col min="15371" max="15371" width="31.28515625" customWidth="1"/>
    <col min="15372" max="15372" width="17" customWidth="1"/>
    <col min="15373" max="15373" width="31.28515625" customWidth="1"/>
    <col min="15374" max="15382" width="0" hidden="1" customWidth="1"/>
    <col min="15383" max="15383" width="16.7109375" customWidth="1"/>
    <col min="15384" max="15384" width="17.85546875" customWidth="1"/>
    <col min="15385" max="15385" width="27.140625" customWidth="1"/>
    <col min="15386" max="15386" width="47.140625" bestFit="1" customWidth="1"/>
    <col min="15387" max="15387" width="27.5703125" customWidth="1"/>
    <col min="15388" max="15388" width="33.140625" bestFit="1" customWidth="1"/>
    <col min="15389" max="15389" width="32.5703125" customWidth="1"/>
    <col min="15390" max="15396" width="0" hidden="1" customWidth="1"/>
    <col min="15397" max="15397" width="36.42578125" customWidth="1"/>
    <col min="15398" max="15399" width="0" hidden="1" customWidth="1"/>
    <col min="15400" max="15400" width="36.42578125" customWidth="1"/>
    <col min="15401" max="15407" width="0" hidden="1" customWidth="1"/>
    <col min="15408" max="15408" width="11.5703125" customWidth="1"/>
    <col min="15605" max="15607" width="0" hidden="1" customWidth="1"/>
    <col min="15608" max="15608" width="16.140625" customWidth="1"/>
    <col min="15609" max="15612" width="0" hidden="1" customWidth="1"/>
    <col min="15613" max="15613" width="53.28515625" customWidth="1"/>
    <col min="15614" max="15614" width="36.5703125" customWidth="1"/>
    <col min="15615" max="15615" width="35" bestFit="1" customWidth="1"/>
    <col min="15616" max="15616" width="36.5703125" customWidth="1"/>
    <col min="15617" max="15617" width="36.7109375" customWidth="1"/>
    <col min="15618" max="15618" width="35.42578125" customWidth="1"/>
    <col min="15619" max="15619" width="31.28515625" customWidth="1"/>
    <col min="15620" max="15621" width="29" customWidth="1"/>
    <col min="15622" max="15622" width="31.28515625" customWidth="1"/>
    <col min="15623" max="15624" width="0" hidden="1" customWidth="1"/>
    <col min="15625" max="15626" width="16.7109375" customWidth="1"/>
    <col min="15627" max="15627" width="31.28515625" customWidth="1"/>
    <col min="15628" max="15628" width="17" customWidth="1"/>
    <col min="15629" max="15629" width="31.28515625" customWidth="1"/>
    <col min="15630" max="15638" width="0" hidden="1" customWidth="1"/>
    <col min="15639" max="15639" width="16.7109375" customWidth="1"/>
    <col min="15640" max="15640" width="17.85546875" customWidth="1"/>
    <col min="15641" max="15641" width="27.140625" customWidth="1"/>
    <col min="15642" max="15642" width="47.140625" bestFit="1" customWidth="1"/>
    <col min="15643" max="15643" width="27.5703125" customWidth="1"/>
    <col min="15644" max="15644" width="33.140625" bestFit="1" customWidth="1"/>
    <col min="15645" max="15645" width="32.5703125" customWidth="1"/>
    <col min="15646" max="15652" width="0" hidden="1" customWidth="1"/>
    <col min="15653" max="15653" width="36.42578125" customWidth="1"/>
    <col min="15654" max="15655" width="0" hidden="1" customWidth="1"/>
    <col min="15656" max="15656" width="36.42578125" customWidth="1"/>
    <col min="15657" max="15663" width="0" hidden="1" customWidth="1"/>
    <col min="15664" max="15664" width="11.5703125" customWidth="1"/>
    <col min="15861" max="15863" width="0" hidden="1" customWidth="1"/>
    <col min="15864" max="15864" width="16.140625" customWidth="1"/>
    <col min="15865" max="15868" width="0" hidden="1" customWidth="1"/>
    <col min="15869" max="15869" width="53.28515625" customWidth="1"/>
    <col min="15870" max="15870" width="36.5703125" customWidth="1"/>
    <col min="15871" max="15871" width="35" bestFit="1" customWidth="1"/>
    <col min="15872" max="15872" width="36.5703125" customWidth="1"/>
    <col min="15873" max="15873" width="36.7109375" customWidth="1"/>
    <col min="15874" max="15874" width="35.42578125" customWidth="1"/>
    <col min="15875" max="15875" width="31.28515625" customWidth="1"/>
    <col min="15876" max="15877" width="29" customWidth="1"/>
    <col min="15878" max="15878" width="31.28515625" customWidth="1"/>
    <col min="15879" max="15880" width="0" hidden="1" customWidth="1"/>
    <col min="15881" max="15882" width="16.7109375" customWidth="1"/>
    <col min="15883" max="15883" width="31.28515625" customWidth="1"/>
    <col min="15884" max="15884" width="17" customWidth="1"/>
    <col min="15885" max="15885" width="31.28515625" customWidth="1"/>
    <col min="15886" max="15894" width="0" hidden="1" customWidth="1"/>
    <col min="15895" max="15895" width="16.7109375" customWidth="1"/>
    <col min="15896" max="15896" width="17.85546875" customWidth="1"/>
    <col min="15897" max="15897" width="27.140625" customWidth="1"/>
    <col min="15898" max="15898" width="47.140625" bestFit="1" customWidth="1"/>
    <col min="15899" max="15899" width="27.5703125" customWidth="1"/>
    <col min="15900" max="15900" width="33.140625" bestFit="1" customWidth="1"/>
    <col min="15901" max="15901" width="32.5703125" customWidth="1"/>
    <col min="15902" max="15908" width="0" hidden="1" customWidth="1"/>
    <col min="15909" max="15909" width="36.42578125" customWidth="1"/>
    <col min="15910" max="15911" width="0" hidden="1" customWidth="1"/>
    <col min="15912" max="15912" width="36.42578125" customWidth="1"/>
    <col min="15913" max="15919" width="0" hidden="1" customWidth="1"/>
    <col min="15920" max="15920" width="11.5703125" customWidth="1"/>
    <col min="16117" max="16119" width="0" hidden="1" customWidth="1"/>
    <col min="16120" max="16120" width="16.140625" customWidth="1"/>
    <col min="16121" max="16124" width="0" hidden="1" customWidth="1"/>
    <col min="16125" max="16125" width="53.28515625" customWidth="1"/>
    <col min="16126" max="16126" width="36.5703125" customWidth="1"/>
    <col min="16127" max="16127" width="35" bestFit="1" customWidth="1"/>
    <col min="16128" max="16128" width="36.5703125" customWidth="1"/>
    <col min="16129" max="16129" width="36.7109375" customWidth="1"/>
    <col min="16130" max="16130" width="35.42578125" customWidth="1"/>
    <col min="16131" max="16131" width="31.28515625" customWidth="1"/>
    <col min="16132" max="16133" width="29" customWidth="1"/>
    <col min="16134" max="16134" width="31.28515625" customWidth="1"/>
    <col min="16135" max="16136" width="0" hidden="1" customWidth="1"/>
    <col min="16137" max="16138" width="16.7109375" customWidth="1"/>
    <col min="16139" max="16139" width="31.28515625" customWidth="1"/>
    <col min="16140" max="16140" width="17" customWidth="1"/>
    <col min="16141" max="16141" width="31.28515625" customWidth="1"/>
    <col min="16142" max="16150" width="0" hidden="1" customWidth="1"/>
    <col min="16151" max="16151" width="16.7109375" customWidth="1"/>
    <col min="16152" max="16152" width="17.85546875" customWidth="1"/>
    <col min="16153" max="16153" width="27.140625" customWidth="1"/>
    <col min="16154" max="16154" width="47.140625" bestFit="1" customWidth="1"/>
    <col min="16155" max="16155" width="27.5703125" customWidth="1"/>
    <col min="16156" max="16156" width="33.140625" bestFit="1" customWidth="1"/>
    <col min="16157" max="16157" width="32.5703125" customWidth="1"/>
    <col min="16158" max="16164" width="0" hidden="1" customWidth="1"/>
    <col min="16165" max="16165" width="36.42578125" customWidth="1"/>
    <col min="16166" max="16167" width="0" hidden="1" customWidth="1"/>
    <col min="16168" max="16168" width="36.42578125" customWidth="1"/>
    <col min="16169" max="16175" width="0" hidden="1" customWidth="1"/>
    <col min="16176" max="16176" width="11.5703125" customWidth="1"/>
  </cols>
  <sheetData>
    <row r="1" spans="1:53" ht="26.45" customHeight="1" thickBot="1" x14ac:dyDescent="0.25">
      <c r="A1" s="57"/>
      <c r="B1" s="53"/>
      <c r="C1" s="106"/>
      <c r="D1" s="190"/>
      <c r="E1" s="191"/>
      <c r="F1" s="57"/>
      <c r="G1" s="57"/>
      <c r="H1" s="192"/>
      <c r="I1" s="193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  <c r="AL1" s="194"/>
      <c r="AM1" s="194"/>
      <c r="AN1" s="194"/>
      <c r="AO1" s="194"/>
      <c r="AP1" s="194"/>
      <c r="AQ1" s="194"/>
      <c r="AR1" s="194"/>
      <c r="AS1" s="194"/>
      <c r="AT1" s="194"/>
      <c r="AU1" s="194"/>
      <c r="AV1" s="194"/>
      <c r="AW1" s="194"/>
      <c r="AX1" s="194"/>
      <c r="AY1" s="194"/>
      <c r="AZ1" s="194"/>
      <c r="BA1" s="194"/>
    </row>
    <row r="2" spans="1:53" ht="9" hidden="1" customHeight="1" x14ac:dyDescent="0.2">
      <c r="A2" s="105"/>
      <c r="B2" s="53"/>
      <c r="C2" s="109"/>
      <c r="D2" s="190"/>
      <c r="E2" s="105"/>
      <c r="F2" s="105"/>
      <c r="G2" s="105"/>
      <c r="H2" s="105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</row>
    <row r="3" spans="1:53" ht="9" hidden="1" customHeight="1" x14ac:dyDescent="0.2">
      <c r="A3" s="105"/>
      <c r="B3" s="53"/>
      <c r="C3" s="54"/>
      <c r="D3" s="190"/>
      <c r="E3" s="105"/>
      <c r="F3" s="105"/>
      <c r="G3" s="105"/>
      <c r="H3" s="105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</row>
    <row r="4" spans="1:53" ht="11.25" hidden="1" customHeight="1" x14ac:dyDescent="0.2">
      <c r="A4" s="105"/>
      <c r="B4" s="53"/>
      <c r="C4" s="54"/>
      <c r="D4" s="190"/>
      <c r="E4" s="105"/>
      <c r="F4" s="105"/>
      <c r="G4" s="105"/>
      <c r="H4" s="105"/>
      <c r="I4" s="110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</row>
    <row r="5" spans="1:53" s="57" customFormat="1" ht="28.5" thickBot="1" x14ac:dyDescent="0.25">
      <c r="B5" s="57" t="s">
        <v>58</v>
      </c>
      <c r="C5" s="54"/>
      <c r="D5" s="58"/>
      <c r="I5" s="59" t="s">
        <v>31</v>
      </c>
    </row>
    <row r="6" spans="1:53" ht="16.5" customHeight="1" thickBot="1" x14ac:dyDescent="0.25">
      <c r="A6" s="105"/>
      <c r="B6" s="53"/>
      <c r="C6" s="509"/>
      <c r="D6" s="190"/>
      <c r="E6" s="195"/>
      <c r="F6" s="105"/>
      <c r="G6" s="105"/>
      <c r="H6" s="105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</row>
    <row r="7" spans="1:53" s="197" customFormat="1" ht="30.75" thickBot="1" x14ac:dyDescent="0.25">
      <c r="A7" s="196"/>
      <c r="C7" s="509"/>
      <c r="D7" s="196"/>
      <c r="E7" s="198"/>
      <c r="F7" s="196"/>
      <c r="G7" s="196"/>
      <c r="H7" s="196"/>
    </row>
    <row r="8" spans="1:53" s="200" customFormat="1" ht="21" hidden="1" customHeight="1" thickBot="1" x14ac:dyDescent="0.25">
      <c r="A8" s="199"/>
      <c r="C8" s="509"/>
      <c r="D8" s="199"/>
      <c r="E8" s="199"/>
      <c r="F8" s="199"/>
      <c r="G8" s="199"/>
      <c r="H8" s="199"/>
      <c r="I8" s="200">
        <v>1</v>
      </c>
      <c r="J8" s="200">
        <v>2</v>
      </c>
      <c r="K8" s="200">
        <v>3</v>
      </c>
      <c r="L8" s="200">
        <v>4</v>
      </c>
      <c r="M8" s="200">
        <v>5</v>
      </c>
      <c r="N8" s="200">
        <v>6</v>
      </c>
      <c r="O8" s="200">
        <v>7</v>
      </c>
      <c r="P8" s="200">
        <v>8</v>
      </c>
      <c r="Q8" s="200">
        <v>9</v>
      </c>
      <c r="R8" s="200">
        <v>10</v>
      </c>
      <c r="U8" s="200">
        <v>11</v>
      </c>
      <c r="V8" s="200">
        <v>12</v>
      </c>
      <c r="W8" s="200">
        <v>13</v>
      </c>
      <c r="X8" s="200">
        <v>14</v>
      </c>
      <c r="Y8" s="200">
        <v>15</v>
      </c>
      <c r="AI8" s="200">
        <v>16</v>
      </c>
      <c r="AJ8" s="200">
        <v>17</v>
      </c>
      <c r="AK8" s="200">
        <v>18</v>
      </c>
      <c r="AT8" s="200">
        <v>21</v>
      </c>
      <c r="AW8" s="200">
        <v>22</v>
      </c>
      <c r="AZ8" s="200">
        <v>23</v>
      </c>
    </row>
    <row r="9" spans="1:53" ht="64.5" customHeight="1" thickBot="1" x14ac:dyDescent="0.25">
      <c r="A9" s="511" t="s">
        <v>62</v>
      </c>
      <c r="B9" s="541"/>
      <c r="C9" s="201"/>
      <c r="D9" s="542"/>
      <c r="E9" s="543" t="s">
        <v>60</v>
      </c>
      <c r="F9" s="511" t="s">
        <v>61</v>
      </c>
      <c r="G9" s="511" t="s">
        <v>63</v>
      </c>
      <c r="H9" s="202"/>
      <c r="I9" s="511" t="s">
        <v>64</v>
      </c>
      <c r="J9" s="511" t="s">
        <v>198</v>
      </c>
      <c r="K9" s="504" t="s">
        <v>66</v>
      </c>
      <c r="L9" s="539" t="s">
        <v>67</v>
      </c>
      <c r="M9" s="539"/>
      <c r="N9" s="539"/>
      <c r="O9" s="539"/>
      <c r="P9" s="540" t="s">
        <v>68</v>
      </c>
      <c r="Q9" s="540"/>
      <c r="R9" s="540"/>
      <c r="S9" s="540"/>
      <c r="T9" s="540"/>
      <c r="U9" s="536" t="s">
        <v>69</v>
      </c>
      <c r="V9" s="536"/>
      <c r="W9" s="536"/>
      <c r="X9" s="536"/>
      <c r="Y9" s="536"/>
      <c r="Z9" s="203"/>
      <c r="AA9" s="203"/>
      <c r="AB9" s="203"/>
      <c r="AC9" s="203"/>
      <c r="AD9" s="203"/>
      <c r="AE9" s="203"/>
      <c r="AF9" s="203"/>
      <c r="AG9" s="203"/>
      <c r="AH9" s="203"/>
      <c r="AI9" s="537" t="s">
        <v>4</v>
      </c>
      <c r="AJ9" s="537"/>
      <c r="AK9" s="537"/>
      <c r="AL9" s="537"/>
      <c r="AM9" s="537"/>
      <c r="AN9" s="537"/>
      <c r="AO9" s="537"/>
      <c r="AP9" s="537"/>
      <c r="AQ9" s="537"/>
      <c r="AR9" s="537"/>
      <c r="AS9" s="537"/>
      <c r="AT9" s="537"/>
      <c r="AU9" s="204"/>
      <c r="AV9" s="205"/>
      <c r="AW9" s="535" t="s">
        <v>26</v>
      </c>
      <c r="AX9" s="206"/>
      <c r="AY9" s="207"/>
      <c r="AZ9" s="535" t="s">
        <v>27</v>
      </c>
      <c r="BA9" s="535"/>
    </row>
    <row r="10" spans="1:53" ht="21" customHeight="1" thickBot="1" x14ac:dyDescent="0.25">
      <c r="A10" s="511"/>
      <c r="B10" s="541"/>
      <c r="C10" s="208"/>
      <c r="D10" s="542"/>
      <c r="E10" s="543"/>
      <c r="F10" s="511"/>
      <c r="G10" s="511"/>
      <c r="H10" s="202"/>
      <c r="I10" s="511"/>
      <c r="J10" s="511"/>
      <c r="K10" s="504"/>
      <c r="L10" s="209"/>
      <c r="M10" s="128"/>
      <c r="N10" s="128"/>
      <c r="O10" s="129"/>
      <c r="P10" s="540"/>
      <c r="Q10" s="540"/>
      <c r="R10" s="540"/>
      <c r="S10" s="540"/>
      <c r="T10" s="540"/>
      <c r="U10" s="536"/>
      <c r="V10" s="536"/>
      <c r="W10" s="536"/>
      <c r="X10" s="536"/>
      <c r="Y10" s="536"/>
      <c r="Z10" s="210"/>
      <c r="AA10" s="211"/>
      <c r="AB10" s="212"/>
      <c r="AC10" s="212"/>
      <c r="AD10" s="212"/>
      <c r="AE10" s="212"/>
      <c r="AF10" s="212"/>
      <c r="AG10" s="212"/>
      <c r="AH10" s="212"/>
      <c r="AI10" s="537"/>
      <c r="AJ10" s="537"/>
      <c r="AK10" s="537"/>
      <c r="AL10" s="537"/>
      <c r="AM10" s="537"/>
      <c r="AN10" s="537"/>
      <c r="AO10" s="537"/>
      <c r="AP10" s="537"/>
      <c r="AQ10" s="537"/>
      <c r="AR10" s="537"/>
      <c r="AS10" s="537"/>
      <c r="AT10" s="537"/>
      <c r="AU10" s="213"/>
      <c r="AV10" s="214"/>
      <c r="AW10" s="535"/>
      <c r="AX10" s="215"/>
      <c r="AY10" s="216"/>
      <c r="AZ10" s="535"/>
      <c r="BA10" s="535"/>
    </row>
    <row r="11" spans="1:53" ht="144" customHeight="1" thickBot="1" x14ac:dyDescent="0.25">
      <c r="A11" s="511"/>
      <c r="B11" s="541"/>
      <c r="C11" s="217" t="s">
        <v>59</v>
      </c>
      <c r="D11" s="542"/>
      <c r="E11" s="543"/>
      <c r="F11" s="511"/>
      <c r="G11" s="511"/>
      <c r="H11" s="202" t="s">
        <v>327</v>
      </c>
      <c r="I11" s="511"/>
      <c r="J11" s="511"/>
      <c r="K11" s="504"/>
      <c r="L11" s="64" t="s">
        <v>75</v>
      </c>
      <c r="M11" s="64" t="s">
        <v>76</v>
      </c>
      <c r="N11" s="64" t="s">
        <v>77</v>
      </c>
      <c r="O11" s="64" t="s">
        <v>78</v>
      </c>
      <c r="P11" s="218" t="s">
        <v>80</v>
      </c>
      <c r="Q11" s="218" t="s">
        <v>80</v>
      </c>
      <c r="R11" s="218" t="s">
        <v>81</v>
      </c>
      <c r="S11" s="202" t="s">
        <v>82</v>
      </c>
      <c r="T11" s="202" t="s">
        <v>83</v>
      </c>
      <c r="U11" s="219" t="s">
        <v>84</v>
      </c>
      <c r="V11" s="219" t="s">
        <v>85</v>
      </c>
      <c r="W11" s="219" t="s">
        <v>86</v>
      </c>
      <c r="X11" s="219" t="s">
        <v>18</v>
      </c>
      <c r="Y11" s="219" t="s">
        <v>87</v>
      </c>
      <c r="Z11" s="220" t="s">
        <v>89</v>
      </c>
      <c r="AA11" s="221" t="s">
        <v>90</v>
      </c>
      <c r="AB11" s="221"/>
      <c r="AC11" s="221"/>
      <c r="AD11" s="221"/>
      <c r="AE11" s="221"/>
      <c r="AF11" s="221"/>
      <c r="AG11" s="221"/>
      <c r="AH11" s="221"/>
      <c r="AI11" s="317" t="s">
        <v>204</v>
      </c>
      <c r="AJ11" s="317" t="s">
        <v>328</v>
      </c>
      <c r="AK11" s="317" t="s">
        <v>98</v>
      </c>
      <c r="AL11" s="317" t="s">
        <v>522</v>
      </c>
      <c r="AM11" s="317" t="s">
        <v>22</v>
      </c>
      <c r="AN11" s="317" t="s">
        <v>207</v>
      </c>
      <c r="AO11" s="317" t="s">
        <v>100</v>
      </c>
      <c r="AP11" s="222"/>
      <c r="AQ11" s="222"/>
      <c r="AR11" s="222"/>
      <c r="AS11" s="222"/>
      <c r="AT11" s="538" t="s">
        <v>101</v>
      </c>
      <c r="AU11" s="538" t="s">
        <v>102</v>
      </c>
      <c r="AV11" s="538" t="s">
        <v>103</v>
      </c>
      <c r="AW11" s="535"/>
      <c r="AX11" s="131" t="s">
        <v>104</v>
      </c>
      <c r="AY11" s="131" t="s">
        <v>105</v>
      </c>
      <c r="AZ11" s="535"/>
      <c r="BA11" s="535"/>
    </row>
    <row r="12" spans="1:53" s="163" customFormat="1" ht="90" x14ac:dyDescent="0.2">
      <c r="A12" s="223" t="s">
        <v>329</v>
      </c>
      <c r="B12" s="224" t="s">
        <v>330</v>
      </c>
      <c r="C12" s="225" t="e">
        <f>J12-#REF!</f>
        <v>#REF!</v>
      </c>
      <c r="D12" s="226" t="s">
        <v>331</v>
      </c>
      <c r="E12" s="227" t="s">
        <v>332</v>
      </c>
      <c r="F12" s="223"/>
      <c r="G12" s="174" t="s">
        <v>112</v>
      </c>
      <c r="H12" s="228" t="s">
        <v>333</v>
      </c>
      <c r="I12" s="153" t="s">
        <v>334</v>
      </c>
      <c r="J12" s="229">
        <v>504000</v>
      </c>
      <c r="K12" s="230">
        <v>427299.99</v>
      </c>
      <c r="L12" s="155">
        <v>76700.009999999995</v>
      </c>
      <c r="M12" s="155">
        <v>0</v>
      </c>
      <c r="N12" s="155">
        <v>0</v>
      </c>
      <c r="O12" s="155">
        <v>0</v>
      </c>
      <c r="P12" s="231">
        <v>478800</v>
      </c>
      <c r="Q12" s="87"/>
      <c r="R12" s="87"/>
      <c r="S12" s="232"/>
      <c r="T12" s="233"/>
      <c r="U12" s="234"/>
      <c r="V12" s="234"/>
      <c r="W12" s="87"/>
      <c r="X12" s="87"/>
      <c r="Y12" s="87"/>
      <c r="Z12" s="87"/>
      <c r="AA12" s="87"/>
      <c r="AB12" s="181"/>
      <c r="AC12" s="181"/>
      <c r="AD12" s="181"/>
      <c r="AE12" s="181"/>
      <c r="AF12" s="181"/>
      <c r="AG12" s="181"/>
      <c r="AH12" s="181"/>
      <c r="AI12" s="181"/>
      <c r="AJ12" s="181"/>
      <c r="AK12" s="181"/>
      <c r="AL12" s="181">
        <v>22301.09</v>
      </c>
      <c r="AM12" s="185">
        <v>2898.91</v>
      </c>
      <c r="AN12" s="181">
        <v>0</v>
      </c>
      <c r="AO12" s="181"/>
      <c r="AP12" s="235"/>
      <c r="AQ12" s="232"/>
      <c r="AR12" s="232"/>
      <c r="AS12" s="232"/>
      <c r="AT12" s="236"/>
      <c r="AU12" s="232"/>
      <c r="AV12" s="233"/>
      <c r="AW12" s="184"/>
      <c r="AX12" s="87"/>
      <c r="AY12" s="88"/>
      <c r="AZ12" s="184"/>
      <c r="BA12" s="184">
        <f>J12-P12-Q12-R12-U12-V12-W12-X12-Y12-AI12-AJ12-AK12-AL12-AM12-AN12-AO12-AW12-AZ12</f>
        <v>0</v>
      </c>
    </row>
    <row r="13" spans="1:53" s="163" customFormat="1" ht="150" customHeight="1" thickBot="1" x14ac:dyDescent="0.25">
      <c r="A13" s="223" t="s">
        <v>335</v>
      </c>
      <c r="B13" s="224" t="s">
        <v>330</v>
      </c>
      <c r="C13" s="147" t="e">
        <f>J13-#REF!</f>
        <v>#REF!</v>
      </c>
      <c r="D13" s="533" t="s">
        <v>336</v>
      </c>
      <c r="E13" s="227" t="s">
        <v>337</v>
      </c>
      <c r="F13" s="223">
        <v>60800</v>
      </c>
      <c r="G13" s="174" t="s">
        <v>112</v>
      </c>
      <c r="H13" s="228" t="s">
        <v>333</v>
      </c>
      <c r="I13" s="169" t="s">
        <v>338</v>
      </c>
      <c r="J13" s="229">
        <v>156963934.65000001</v>
      </c>
      <c r="K13" s="230">
        <v>155153201.56</v>
      </c>
      <c r="L13" s="164">
        <v>1810733.09</v>
      </c>
      <c r="M13" s="164">
        <v>0</v>
      </c>
      <c r="N13" s="164">
        <v>0</v>
      </c>
      <c r="O13" s="164">
        <v>0</v>
      </c>
      <c r="P13" s="231"/>
      <c r="Q13" s="87"/>
      <c r="R13" s="87">
        <v>42406636.420000002</v>
      </c>
      <c r="S13" s="232"/>
      <c r="T13" s="233"/>
      <c r="U13" s="234"/>
      <c r="V13" s="234"/>
      <c r="W13" s="87">
        <v>13979667.33</v>
      </c>
      <c r="X13" s="87"/>
      <c r="Y13" s="87">
        <v>23000000</v>
      </c>
      <c r="Z13" s="87"/>
      <c r="AA13" s="87"/>
      <c r="AB13" s="181"/>
      <c r="AC13" s="181"/>
      <c r="AD13" s="181"/>
      <c r="AE13" s="181"/>
      <c r="AF13" s="181"/>
      <c r="AG13" s="181"/>
      <c r="AH13" s="181"/>
      <c r="AI13" s="181"/>
      <c r="AJ13" s="181"/>
      <c r="AK13" s="181"/>
      <c r="AL13" s="181">
        <v>637818.39</v>
      </c>
      <c r="AM13" s="185"/>
      <c r="AN13" s="181">
        <v>0</v>
      </c>
      <c r="AO13" s="181">
        <v>8300000</v>
      </c>
      <c r="AP13" s="181"/>
      <c r="AQ13" s="181"/>
      <c r="AR13" s="181"/>
      <c r="AS13" s="181"/>
      <c r="AT13" s="181"/>
      <c r="AU13" s="181"/>
      <c r="AV13" s="181"/>
      <c r="AW13" s="181">
        <f>56639812.51+12000000</f>
        <v>68639812.50999999</v>
      </c>
      <c r="AX13" s="181"/>
      <c r="AY13" s="181"/>
      <c r="AZ13" s="181"/>
      <c r="BA13" s="184">
        <f t="shared" ref="BA13:BA39" si="0">J13-P13-Q13-R13-U13-V13-W13-X13-Y13-AI13-AJ13-AK13-AL13-AM13-AN13-AO13-AW13-AZ13</f>
        <v>1.4901161193847656E-8</v>
      </c>
    </row>
    <row r="14" spans="1:53" s="163" customFormat="1" ht="47.25" hidden="1" customHeight="1" thickBot="1" x14ac:dyDescent="0.25">
      <c r="A14" s="223"/>
      <c r="B14" s="224"/>
      <c r="C14" s="147"/>
      <c r="D14" s="533"/>
      <c r="E14" s="227"/>
      <c r="F14" s="223"/>
      <c r="G14" s="174"/>
      <c r="H14" s="228"/>
      <c r="I14" s="169" t="s">
        <v>339</v>
      </c>
      <c r="J14" s="229"/>
      <c r="K14" s="230">
        <v>0</v>
      </c>
      <c r="L14" s="164">
        <v>0</v>
      </c>
      <c r="M14" s="164">
        <v>0</v>
      </c>
      <c r="N14" s="164">
        <v>0</v>
      </c>
      <c r="O14" s="164">
        <v>0</v>
      </c>
      <c r="P14" s="231"/>
      <c r="Q14" s="87"/>
      <c r="R14" s="87"/>
      <c r="S14" s="232"/>
      <c r="T14" s="233"/>
      <c r="U14" s="234"/>
      <c r="V14" s="234"/>
      <c r="W14" s="87"/>
      <c r="X14" s="87"/>
      <c r="Y14" s="87"/>
      <c r="Z14" s="87"/>
      <c r="AA14" s="87"/>
      <c r="AB14" s="181"/>
      <c r="AC14" s="181"/>
      <c r="AD14" s="181"/>
      <c r="AE14" s="181"/>
      <c r="AF14" s="181"/>
      <c r="AG14" s="181"/>
      <c r="AH14" s="181"/>
      <c r="AI14" s="181"/>
      <c r="AJ14" s="181"/>
      <c r="AK14" s="181"/>
      <c r="AL14" s="181">
        <v>0</v>
      </c>
      <c r="AM14" s="185"/>
      <c r="AN14" s="181">
        <v>0</v>
      </c>
      <c r="AO14" s="237"/>
      <c r="AP14" s="232"/>
      <c r="AQ14" s="87"/>
      <c r="AR14" s="232"/>
      <c r="AS14" s="238"/>
      <c r="AT14" s="87"/>
      <c r="AU14" s="235"/>
      <c r="AV14" s="234"/>
      <c r="AW14" s="87"/>
      <c r="AX14" s="231"/>
      <c r="AY14" s="172"/>
      <c r="AZ14" s="87"/>
      <c r="BA14" s="184">
        <f t="shared" si="0"/>
        <v>0</v>
      </c>
    </row>
    <row r="15" spans="1:53" s="163" customFormat="1" ht="135" customHeight="1" thickBot="1" x14ac:dyDescent="0.25">
      <c r="A15" s="223" t="s">
        <v>340</v>
      </c>
      <c r="B15" s="224" t="s">
        <v>330</v>
      </c>
      <c r="C15" s="147" t="e">
        <f>J15-#REF!</f>
        <v>#REF!</v>
      </c>
      <c r="D15" s="534" t="s">
        <v>341</v>
      </c>
      <c r="E15" s="227"/>
      <c r="F15" s="223"/>
      <c r="G15" s="174" t="s">
        <v>112</v>
      </c>
      <c r="H15" s="228" t="s">
        <v>333</v>
      </c>
      <c r="I15" s="169" t="s">
        <v>342</v>
      </c>
      <c r="J15" s="229">
        <v>7808637.54</v>
      </c>
      <c r="K15" s="230">
        <v>251897.56</v>
      </c>
      <c r="L15" s="164">
        <f>4806739.98-1675000</f>
        <v>3131739.9800000004</v>
      </c>
      <c r="M15" s="164">
        <f>2750000+1675000</f>
        <v>4425000</v>
      </c>
      <c r="N15" s="164">
        <v>0</v>
      </c>
      <c r="O15" s="164">
        <v>0</v>
      </c>
      <c r="P15" s="231"/>
      <c r="Q15" s="87"/>
      <c r="R15" s="87"/>
      <c r="S15" s="232"/>
      <c r="T15" s="233"/>
      <c r="U15" s="234"/>
      <c r="V15" s="234"/>
      <c r="W15" s="87"/>
      <c r="X15" s="87"/>
      <c r="Y15" s="87">
        <v>2000000</v>
      </c>
      <c r="Z15" s="87"/>
      <c r="AA15" s="87"/>
      <c r="AB15" s="181"/>
      <c r="AC15" s="181"/>
      <c r="AD15" s="181"/>
      <c r="AE15" s="181"/>
      <c r="AF15" s="181"/>
      <c r="AG15" s="181"/>
      <c r="AH15" s="185"/>
      <c r="AI15" s="87"/>
      <c r="AJ15" s="239"/>
      <c r="AK15" s="181"/>
      <c r="AL15" s="181">
        <v>251897.56</v>
      </c>
      <c r="AM15" s="87">
        <v>2500546.75</v>
      </c>
      <c r="AN15" s="181">
        <v>2425000</v>
      </c>
      <c r="AO15" s="181">
        <v>631193.23</v>
      </c>
      <c r="AP15" s="235"/>
      <c r="AQ15" s="232"/>
      <c r="AR15" s="232"/>
      <c r="AS15" s="157"/>
      <c r="AT15" s="232"/>
      <c r="AU15" s="232"/>
      <c r="AV15" s="233"/>
      <c r="AW15" s="240"/>
      <c r="AX15" s="87"/>
      <c r="AY15" s="172"/>
      <c r="AZ15" s="240"/>
      <c r="BA15" s="184">
        <f t="shared" si="0"/>
        <v>4.6566128730773926E-10</v>
      </c>
    </row>
    <row r="16" spans="1:53" s="163" customFormat="1" ht="93.75" hidden="1" customHeight="1" thickBot="1" x14ac:dyDescent="0.25">
      <c r="A16" s="223"/>
      <c r="B16" s="224"/>
      <c r="C16" s="147"/>
      <c r="D16" s="534"/>
      <c r="E16" s="227"/>
      <c r="F16" s="223"/>
      <c r="G16" s="174"/>
      <c r="H16" s="228"/>
      <c r="I16" s="169" t="s">
        <v>343</v>
      </c>
      <c r="J16" s="229"/>
      <c r="K16" s="230"/>
      <c r="L16" s="164"/>
      <c r="M16" s="164"/>
      <c r="N16" s="164">
        <v>0</v>
      </c>
      <c r="O16" s="164">
        <v>0</v>
      </c>
      <c r="P16" s="231"/>
      <c r="Q16" s="87"/>
      <c r="R16" s="87"/>
      <c r="S16" s="232"/>
      <c r="T16" s="233"/>
      <c r="U16" s="234"/>
      <c r="V16" s="234"/>
      <c r="W16" s="87"/>
      <c r="X16" s="87"/>
      <c r="Y16" s="87"/>
      <c r="Z16" s="87"/>
      <c r="AA16" s="87"/>
      <c r="AB16" s="241"/>
      <c r="AC16" s="241"/>
      <c r="AD16" s="241"/>
      <c r="AE16" s="241"/>
      <c r="AF16" s="241"/>
      <c r="AG16" s="241"/>
      <c r="AH16" s="241"/>
      <c r="AI16" s="87"/>
      <c r="AJ16" s="241"/>
      <c r="AK16" s="181"/>
      <c r="AL16" s="181">
        <v>0</v>
      </c>
      <c r="AM16" s="185"/>
      <c r="AN16" s="181">
        <v>0</v>
      </c>
      <c r="AO16" s="181"/>
      <c r="AP16" s="232"/>
      <c r="AQ16" s="232"/>
      <c r="AR16" s="232"/>
      <c r="AS16" s="159"/>
      <c r="AT16" s="235"/>
      <c r="AU16" s="232"/>
      <c r="AV16" s="233"/>
      <c r="AW16" s="240"/>
      <c r="AX16" s="87"/>
      <c r="AY16" s="172"/>
      <c r="AZ16" s="240"/>
      <c r="BA16" s="184">
        <f t="shared" si="0"/>
        <v>0</v>
      </c>
    </row>
    <row r="17" spans="1:53" s="163" customFormat="1" ht="184.5" customHeight="1" x14ac:dyDescent="0.2">
      <c r="A17" s="223" t="s">
        <v>344</v>
      </c>
      <c r="B17" s="224" t="s">
        <v>330</v>
      </c>
      <c r="C17" s="147" t="e">
        <f>J17+J27-#REF!</f>
        <v>#REF!</v>
      </c>
      <c r="D17" s="242" t="s">
        <v>345</v>
      </c>
      <c r="E17" s="227"/>
      <c r="F17" s="223"/>
      <c r="G17" s="174" t="s">
        <v>112</v>
      </c>
      <c r="H17" s="228" t="s">
        <v>333</v>
      </c>
      <c r="I17" s="169" t="s">
        <v>346</v>
      </c>
      <c r="J17" s="229">
        <v>2882400</v>
      </c>
      <c r="K17" s="230">
        <v>17813.95</v>
      </c>
      <c r="L17" s="164">
        <v>100000</v>
      </c>
      <c r="M17" s="164">
        <v>800000</v>
      </c>
      <c r="N17" s="164">
        <v>600000</v>
      </c>
      <c r="O17" s="164">
        <v>1364586.05</v>
      </c>
      <c r="P17" s="231"/>
      <c r="Q17" s="87"/>
      <c r="R17" s="87"/>
      <c r="S17" s="232"/>
      <c r="T17" s="233"/>
      <c r="U17" s="234"/>
      <c r="V17" s="234"/>
      <c r="W17" s="87"/>
      <c r="X17" s="87"/>
      <c r="Y17" s="87"/>
      <c r="Z17" s="87"/>
      <c r="AA17" s="87"/>
      <c r="AB17" s="243"/>
      <c r="AC17" s="243"/>
      <c r="AD17" s="243"/>
      <c r="AE17" s="243"/>
      <c r="AF17" s="243"/>
      <c r="AG17" s="243"/>
      <c r="AH17" s="243"/>
      <c r="AI17" s="87"/>
      <c r="AJ17" s="243"/>
      <c r="AK17" s="87"/>
      <c r="AL17" s="181">
        <v>17813.95</v>
      </c>
      <c r="AM17" s="87">
        <v>100000</v>
      </c>
      <c r="AN17" s="181">
        <v>1400000</v>
      </c>
      <c r="AO17" s="181"/>
      <c r="AP17" s="235"/>
      <c r="AQ17" s="232"/>
      <c r="AR17" s="232"/>
      <c r="AS17" s="157"/>
      <c r="AT17" s="244"/>
      <c r="AU17" s="232"/>
      <c r="AV17" s="233"/>
      <c r="AW17" s="171"/>
      <c r="AX17" s="87"/>
      <c r="AY17" s="172"/>
      <c r="AZ17" s="171">
        <v>1364586.05</v>
      </c>
      <c r="BA17" s="184">
        <f t="shared" si="0"/>
        <v>0</v>
      </c>
    </row>
    <row r="18" spans="1:53" s="163" customFormat="1" ht="115.5" customHeight="1" x14ac:dyDescent="0.2">
      <c r="A18" s="223" t="s">
        <v>347</v>
      </c>
      <c r="B18" s="224" t="s">
        <v>330</v>
      </c>
      <c r="C18" s="147" t="e">
        <f>J18-#REF!</f>
        <v>#REF!</v>
      </c>
      <c r="D18" s="242" t="s">
        <v>348</v>
      </c>
      <c r="E18" s="227"/>
      <c r="F18" s="223"/>
      <c r="G18" s="174" t="s">
        <v>112</v>
      </c>
      <c r="H18" s="228" t="s">
        <v>333</v>
      </c>
      <c r="I18" s="169" t="s">
        <v>349</v>
      </c>
      <c r="J18" s="229">
        <v>1940000</v>
      </c>
      <c r="K18" s="230">
        <v>52465.64</v>
      </c>
      <c r="L18" s="164">
        <v>50000</v>
      </c>
      <c r="M18" s="164"/>
      <c r="N18" s="164"/>
      <c r="O18" s="164">
        <v>1837534.36</v>
      </c>
      <c r="P18" s="231"/>
      <c r="Q18" s="87"/>
      <c r="R18" s="87"/>
      <c r="S18" s="232"/>
      <c r="T18" s="233"/>
      <c r="U18" s="234"/>
      <c r="V18" s="234"/>
      <c r="W18" s="87"/>
      <c r="X18" s="87"/>
      <c r="Y18" s="87">
        <v>44784.5</v>
      </c>
      <c r="Z18" s="87"/>
      <c r="AA18" s="87"/>
      <c r="AB18" s="181"/>
      <c r="AC18" s="181"/>
      <c r="AD18" s="181"/>
      <c r="AE18" s="181"/>
      <c r="AF18" s="181"/>
      <c r="AG18" s="181"/>
      <c r="AH18" s="181"/>
      <c r="AI18" s="245"/>
      <c r="AJ18" s="181"/>
      <c r="AK18" s="181"/>
      <c r="AL18" s="181">
        <v>52465.64</v>
      </c>
      <c r="AM18" s="185">
        <v>5215.5</v>
      </c>
      <c r="AN18" s="181">
        <v>0</v>
      </c>
      <c r="AO18" s="181"/>
      <c r="AP18" s="232"/>
      <c r="AQ18" s="232"/>
      <c r="AR18" s="232"/>
      <c r="AS18" s="87"/>
      <c r="AT18" s="87"/>
      <c r="AU18" s="232"/>
      <c r="AV18" s="233"/>
      <c r="AW18" s="171"/>
      <c r="AX18" s="87"/>
      <c r="AY18" s="172"/>
      <c r="AZ18" s="171">
        <v>1837534.36</v>
      </c>
      <c r="BA18" s="184">
        <f t="shared" si="0"/>
        <v>0</v>
      </c>
    </row>
    <row r="19" spans="1:53" s="163" customFormat="1" ht="150" customHeight="1" thickBot="1" x14ac:dyDescent="0.25">
      <c r="A19" s="246"/>
      <c r="B19" s="224" t="s">
        <v>330</v>
      </c>
      <c r="C19" s="147" t="e">
        <f>J19-#REF!</f>
        <v>#REF!</v>
      </c>
      <c r="D19" s="242" t="s">
        <v>350</v>
      </c>
      <c r="E19" s="227"/>
      <c r="F19" s="223"/>
      <c r="G19" s="174" t="s">
        <v>112</v>
      </c>
      <c r="H19" s="228" t="s">
        <v>333</v>
      </c>
      <c r="I19" s="169" t="s">
        <v>351</v>
      </c>
      <c r="J19" s="229">
        <v>1617000</v>
      </c>
      <c r="K19" s="230"/>
      <c r="L19" s="247">
        <v>300000</v>
      </c>
      <c r="M19" s="247">
        <v>750000</v>
      </c>
      <c r="N19" s="247">
        <v>567000</v>
      </c>
      <c r="O19" s="164">
        <v>0</v>
      </c>
      <c r="P19" s="231"/>
      <c r="Q19" s="87"/>
      <c r="R19" s="87"/>
      <c r="S19" s="232"/>
      <c r="T19" s="233"/>
      <c r="U19" s="234"/>
      <c r="V19" s="234"/>
      <c r="W19" s="87"/>
      <c r="X19" s="87"/>
      <c r="Y19" s="87"/>
      <c r="Z19" s="87"/>
      <c r="AA19" s="87"/>
      <c r="AB19" s="181"/>
      <c r="AC19" s="181"/>
      <c r="AD19" s="181"/>
      <c r="AE19" s="181"/>
      <c r="AF19" s="181"/>
      <c r="AG19" s="181"/>
      <c r="AH19" s="181"/>
      <c r="AI19" s="181"/>
      <c r="AJ19" s="181"/>
      <c r="AK19" s="181"/>
      <c r="AL19" s="181">
        <v>0</v>
      </c>
      <c r="AM19" s="181">
        <v>300000</v>
      </c>
      <c r="AN19" s="181">
        <v>0</v>
      </c>
      <c r="AO19" s="181">
        <v>1317000</v>
      </c>
      <c r="AP19" s="232"/>
      <c r="AQ19" s="232"/>
      <c r="AR19" s="232"/>
      <c r="AS19" s="87"/>
      <c r="AT19" s="87"/>
      <c r="AU19" s="232"/>
      <c r="AV19" s="233"/>
      <c r="AW19" s="171"/>
      <c r="AX19" s="87"/>
      <c r="AY19" s="172"/>
      <c r="AZ19" s="171"/>
      <c r="BA19" s="184">
        <f t="shared" si="0"/>
        <v>0</v>
      </c>
    </row>
    <row r="20" spans="1:53" s="163" customFormat="1" ht="139.5" x14ac:dyDescent="0.2">
      <c r="A20" s="246"/>
      <c r="B20" s="224" t="s">
        <v>330</v>
      </c>
      <c r="C20" s="147" t="e">
        <f>J20-#REF!</f>
        <v>#REF!</v>
      </c>
      <c r="D20" s="242" t="s">
        <v>352</v>
      </c>
      <c r="E20" s="227"/>
      <c r="F20" s="223"/>
      <c r="G20" s="174" t="s">
        <v>112</v>
      </c>
      <c r="H20" s="228" t="s">
        <v>333</v>
      </c>
      <c r="I20" s="169" t="s">
        <v>353</v>
      </c>
      <c r="J20" s="229">
        <v>1710000</v>
      </c>
      <c r="K20" s="230">
        <v>5215.5</v>
      </c>
      <c r="L20" s="164">
        <v>50000</v>
      </c>
      <c r="M20" s="164">
        <v>0</v>
      </c>
      <c r="N20" s="164"/>
      <c r="O20" s="164">
        <v>1654784.5</v>
      </c>
      <c r="P20" s="231"/>
      <c r="Q20" s="87"/>
      <c r="R20" s="87"/>
      <c r="S20" s="232"/>
      <c r="T20" s="233"/>
      <c r="U20" s="234"/>
      <c r="V20" s="234"/>
      <c r="W20" s="87"/>
      <c r="X20" s="87"/>
      <c r="Y20" s="87">
        <v>5215.5</v>
      </c>
      <c r="Z20" s="87"/>
      <c r="AA20" s="87"/>
      <c r="AB20" s="181"/>
      <c r="AC20" s="181"/>
      <c r="AD20" s="181"/>
      <c r="AE20" s="181"/>
      <c r="AF20" s="181"/>
      <c r="AG20" s="181"/>
      <c r="AH20" s="181"/>
      <c r="AI20" s="181"/>
      <c r="AJ20" s="181"/>
      <c r="AK20" s="181"/>
      <c r="AL20" s="181">
        <v>0</v>
      </c>
      <c r="AM20" s="181">
        <v>50000</v>
      </c>
      <c r="AN20" s="181">
        <v>0</v>
      </c>
      <c r="AO20" s="181"/>
      <c r="AP20" s="235"/>
      <c r="AQ20" s="232"/>
      <c r="AR20" s="232"/>
      <c r="AS20" s="157"/>
      <c r="AT20" s="232"/>
      <c r="AU20" s="232"/>
      <c r="AV20" s="233"/>
      <c r="AW20" s="171"/>
      <c r="AX20" s="87"/>
      <c r="AY20" s="88"/>
      <c r="AZ20" s="171">
        <v>1654784.5</v>
      </c>
      <c r="BA20" s="184">
        <f t="shared" si="0"/>
        <v>0</v>
      </c>
    </row>
    <row r="21" spans="1:53" s="163" customFormat="1" ht="117" thickBot="1" x14ac:dyDescent="0.25">
      <c r="A21" s="246"/>
      <c r="B21" s="224" t="s">
        <v>330</v>
      </c>
      <c r="C21" s="147" t="e">
        <f>J21-#REF!</f>
        <v>#REF!</v>
      </c>
      <c r="D21" s="242" t="s">
        <v>354</v>
      </c>
      <c r="E21" s="227"/>
      <c r="F21" s="223"/>
      <c r="G21" s="174" t="s">
        <v>112</v>
      </c>
      <c r="H21" s="228" t="s">
        <v>333</v>
      </c>
      <c r="I21" s="169" t="s">
        <v>355</v>
      </c>
      <c r="J21" s="229">
        <v>1490000</v>
      </c>
      <c r="K21" s="230">
        <v>44874.13</v>
      </c>
      <c r="L21" s="164">
        <v>52961.120000000003</v>
      </c>
      <c r="M21" s="164">
        <v>392164.75</v>
      </c>
      <c r="N21" s="164">
        <v>1000000</v>
      </c>
      <c r="O21" s="164">
        <v>0</v>
      </c>
      <c r="P21" s="231"/>
      <c r="Q21" s="87">
        <v>1363800</v>
      </c>
      <c r="R21" s="87"/>
      <c r="S21" s="232"/>
      <c r="T21" s="233"/>
      <c r="U21" s="234"/>
      <c r="V21" s="234"/>
      <c r="W21" s="87"/>
      <c r="X21" s="87"/>
      <c r="Y21" s="87"/>
      <c r="Z21" s="87"/>
      <c r="AA21" s="87"/>
      <c r="AB21" s="181"/>
      <c r="AC21" s="181"/>
      <c r="AD21" s="181"/>
      <c r="AE21" s="181"/>
      <c r="AF21" s="181"/>
      <c r="AG21" s="181"/>
      <c r="AH21" s="181"/>
      <c r="AI21" s="181"/>
      <c r="AJ21" s="181"/>
      <c r="AK21" s="181"/>
      <c r="AL21" s="181">
        <v>44874.13</v>
      </c>
      <c r="AM21" s="181">
        <v>52961.120000000003</v>
      </c>
      <c r="AN21" s="181">
        <v>28364.75</v>
      </c>
      <c r="AO21" s="181"/>
      <c r="AP21" s="232"/>
      <c r="AQ21" s="232"/>
      <c r="AR21" s="232"/>
      <c r="AS21" s="234"/>
      <c r="AT21" s="235"/>
      <c r="AU21" s="232"/>
      <c r="AV21" s="233"/>
      <c r="AW21" s="171"/>
      <c r="AX21" s="87"/>
      <c r="AY21" s="172"/>
      <c r="AZ21" s="171"/>
      <c r="BA21" s="184">
        <f t="shared" si="0"/>
        <v>-7.2759576141834259E-12</v>
      </c>
    </row>
    <row r="22" spans="1:53" s="163" customFormat="1" ht="150" customHeight="1" x14ac:dyDescent="0.2">
      <c r="A22" s="246"/>
      <c r="B22" s="224" t="s">
        <v>330</v>
      </c>
      <c r="C22" s="147" t="e">
        <f>J22-#REF!</f>
        <v>#REF!</v>
      </c>
      <c r="D22" s="242" t="s">
        <v>356</v>
      </c>
      <c r="E22" s="227"/>
      <c r="F22" s="223"/>
      <c r="G22" s="174" t="s">
        <v>112</v>
      </c>
      <c r="H22" s="228" t="s">
        <v>333</v>
      </c>
      <c r="I22" s="169" t="s">
        <v>357</v>
      </c>
      <c r="J22" s="229">
        <v>3300000</v>
      </c>
      <c r="K22" s="230"/>
      <c r="L22" s="164"/>
      <c r="M22" s="164">
        <v>1950000</v>
      </c>
      <c r="N22" s="164">
        <v>1350000</v>
      </c>
      <c r="O22" s="164">
        <v>0</v>
      </c>
      <c r="P22" s="231"/>
      <c r="Q22" s="87"/>
      <c r="R22" s="87"/>
      <c r="S22" s="232"/>
      <c r="T22" s="233"/>
      <c r="U22" s="234"/>
      <c r="V22" s="234"/>
      <c r="W22" s="87"/>
      <c r="X22" s="87"/>
      <c r="Y22" s="87"/>
      <c r="Z22" s="87"/>
      <c r="AA22" s="87"/>
      <c r="AB22" s="181"/>
      <c r="AC22" s="181"/>
      <c r="AD22" s="181"/>
      <c r="AE22" s="181"/>
      <c r="AF22" s="181"/>
      <c r="AG22" s="181"/>
      <c r="AH22" s="181"/>
      <c r="AI22" s="181"/>
      <c r="AJ22" s="181"/>
      <c r="AK22" s="181"/>
      <c r="AL22" s="181">
        <v>0</v>
      </c>
      <c r="AM22" s="185"/>
      <c r="AN22" s="181">
        <v>150000</v>
      </c>
      <c r="AO22" s="181">
        <v>3150000</v>
      </c>
      <c r="AP22" s="232"/>
      <c r="AQ22" s="232"/>
      <c r="AR22" s="232"/>
      <c r="AS22" s="157"/>
      <c r="AT22" s="232"/>
      <c r="AU22" s="232"/>
      <c r="AV22" s="233"/>
      <c r="AW22" s="171"/>
      <c r="AX22" s="87"/>
      <c r="AY22" s="88"/>
      <c r="AZ22" s="171"/>
      <c r="BA22" s="184">
        <f t="shared" si="0"/>
        <v>0</v>
      </c>
    </row>
    <row r="23" spans="1:53" s="163" customFormat="1" ht="66.75" customHeight="1" x14ac:dyDescent="0.2">
      <c r="A23" s="246"/>
      <c r="B23" s="224"/>
      <c r="C23" s="147"/>
      <c r="D23" s="242" t="s">
        <v>358</v>
      </c>
      <c r="E23" s="227"/>
      <c r="F23" s="223"/>
      <c r="G23" s="174" t="s">
        <v>112</v>
      </c>
      <c r="H23" s="228" t="s">
        <v>333</v>
      </c>
      <c r="I23" s="169" t="s">
        <v>359</v>
      </c>
      <c r="J23" s="229">
        <v>60000</v>
      </c>
      <c r="K23" s="230"/>
      <c r="L23" s="247">
        <v>60000</v>
      </c>
      <c r="M23" s="247">
        <v>0</v>
      </c>
      <c r="N23" s="247">
        <v>0</v>
      </c>
      <c r="O23" s="247">
        <v>0</v>
      </c>
      <c r="P23" s="231"/>
      <c r="Q23" s="87"/>
      <c r="R23" s="87"/>
      <c r="S23" s="232"/>
      <c r="T23" s="233"/>
      <c r="U23" s="234"/>
      <c r="V23" s="234"/>
      <c r="W23" s="87"/>
      <c r="X23" s="87"/>
      <c r="Y23" s="87"/>
      <c r="Z23" s="87"/>
      <c r="AA23" s="87"/>
      <c r="AB23" s="243"/>
      <c r="AC23" s="243"/>
      <c r="AD23" s="243"/>
      <c r="AE23" s="243"/>
      <c r="AF23" s="243"/>
      <c r="AG23" s="243"/>
      <c r="AH23" s="243"/>
      <c r="AI23" s="243"/>
      <c r="AJ23" s="243"/>
      <c r="AK23" s="87"/>
      <c r="AL23" s="181">
        <v>0</v>
      </c>
      <c r="AM23" s="185"/>
      <c r="AN23" s="181">
        <v>0</v>
      </c>
      <c r="AO23" s="181">
        <v>60000</v>
      </c>
      <c r="AP23" s="235"/>
      <c r="AQ23" s="232"/>
      <c r="AR23" s="232"/>
      <c r="AS23" s="232"/>
      <c r="AT23" s="232"/>
      <c r="AU23" s="232"/>
      <c r="AV23" s="233"/>
      <c r="AW23" s="171"/>
      <c r="AX23" s="87"/>
      <c r="AY23" s="88"/>
      <c r="AZ23" s="171"/>
      <c r="BA23" s="184">
        <f t="shared" si="0"/>
        <v>0</v>
      </c>
    </row>
    <row r="24" spans="1:53" s="163" customFormat="1" ht="150" customHeight="1" x14ac:dyDescent="0.2">
      <c r="A24" s="246"/>
      <c r="B24" s="224" t="s">
        <v>330</v>
      </c>
      <c r="C24" s="147" t="e">
        <f>J24-#REF!</f>
        <v>#REF!</v>
      </c>
      <c r="D24" s="242" t="s">
        <v>360</v>
      </c>
      <c r="E24" s="227"/>
      <c r="F24" s="223"/>
      <c r="G24" s="174" t="s">
        <v>112</v>
      </c>
      <c r="H24" s="228" t="s">
        <v>333</v>
      </c>
      <c r="I24" s="169" t="s">
        <v>361</v>
      </c>
      <c r="J24" s="229">
        <v>330000</v>
      </c>
      <c r="K24" s="230">
        <v>0</v>
      </c>
      <c r="L24" s="164">
        <v>0</v>
      </c>
      <c r="M24" s="164">
        <v>0</v>
      </c>
      <c r="N24" s="164">
        <v>0</v>
      </c>
      <c r="O24" s="164">
        <v>330000</v>
      </c>
      <c r="P24" s="231"/>
      <c r="Q24" s="87"/>
      <c r="R24" s="87"/>
      <c r="S24" s="232"/>
      <c r="T24" s="233"/>
      <c r="U24" s="234"/>
      <c r="V24" s="234"/>
      <c r="W24" s="87"/>
      <c r="X24" s="87"/>
      <c r="Y24" s="87"/>
      <c r="Z24" s="87"/>
      <c r="AA24" s="87"/>
      <c r="AB24" s="181"/>
      <c r="AC24" s="181"/>
      <c r="AD24" s="181"/>
      <c r="AE24" s="181"/>
      <c r="AF24" s="181"/>
      <c r="AG24" s="181"/>
      <c r="AH24" s="181"/>
      <c r="AI24" s="181"/>
      <c r="AJ24" s="181"/>
      <c r="AK24" s="181"/>
      <c r="AL24" s="181">
        <v>0</v>
      </c>
      <c r="AM24" s="185"/>
      <c r="AN24" s="181">
        <v>0</v>
      </c>
      <c r="AO24" s="181"/>
      <c r="AP24" s="235"/>
      <c r="AQ24" s="232"/>
      <c r="AR24" s="232"/>
      <c r="AS24" s="232"/>
      <c r="AT24" s="232"/>
      <c r="AU24" s="232"/>
      <c r="AV24" s="233"/>
      <c r="AW24" s="171"/>
      <c r="AX24" s="87"/>
      <c r="AY24" s="88"/>
      <c r="AZ24" s="171">
        <v>330000</v>
      </c>
      <c r="BA24" s="184">
        <f t="shared" si="0"/>
        <v>0</v>
      </c>
    </row>
    <row r="25" spans="1:53" s="163" customFormat="1" ht="140.25" thickBot="1" x14ac:dyDescent="0.25">
      <c r="A25" s="246"/>
      <c r="B25" s="224" t="s">
        <v>330</v>
      </c>
      <c r="C25" s="147" t="e">
        <f>J25-#REF!</f>
        <v>#REF!</v>
      </c>
      <c r="D25" s="242" t="s">
        <v>362</v>
      </c>
      <c r="E25" s="227"/>
      <c r="F25" s="223"/>
      <c r="G25" s="174" t="s">
        <v>112</v>
      </c>
      <c r="H25" s="228" t="s">
        <v>333</v>
      </c>
      <c r="I25" s="169" t="s">
        <v>363</v>
      </c>
      <c r="J25" s="229">
        <v>300000</v>
      </c>
      <c r="K25" s="230">
        <v>4377.3599999999997</v>
      </c>
      <c r="L25" s="164">
        <v>295622.64</v>
      </c>
      <c r="M25" s="164">
        <v>0</v>
      </c>
      <c r="N25" s="164">
        <v>0</v>
      </c>
      <c r="O25" s="164"/>
      <c r="P25" s="231"/>
      <c r="Q25" s="87"/>
      <c r="R25" s="87"/>
      <c r="S25" s="232"/>
      <c r="T25" s="233"/>
      <c r="U25" s="234"/>
      <c r="V25" s="234"/>
      <c r="W25" s="87"/>
      <c r="X25" s="87"/>
      <c r="Y25" s="87"/>
      <c r="Z25" s="87"/>
      <c r="AA25" s="87"/>
      <c r="AB25" s="181"/>
      <c r="AC25" s="181"/>
      <c r="AD25" s="181"/>
      <c r="AE25" s="181"/>
      <c r="AF25" s="181"/>
      <c r="AG25" s="181"/>
      <c r="AH25" s="181"/>
      <c r="AI25" s="181"/>
      <c r="AJ25" s="181"/>
      <c r="AK25" s="181"/>
      <c r="AL25" s="181">
        <v>4377.3599999999997</v>
      </c>
      <c r="AM25" s="241">
        <v>295622.64</v>
      </c>
      <c r="AN25" s="181">
        <v>0</v>
      </c>
      <c r="AO25" s="181"/>
      <c r="AP25" s="235"/>
      <c r="AQ25" s="232"/>
      <c r="AR25" s="232"/>
      <c r="AS25" s="232"/>
      <c r="AT25" s="232"/>
      <c r="AU25" s="232"/>
      <c r="AV25" s="233"/>
      <c r="AW25" s="171"/>
      <c r="AX25" s="87"/>
      <c r="AY25" s="88"/>
      <c r="AZ25" s="171"/>
      <c r="BA25" s="184">
        <f t="shared" si="0"/>
        <v>0</v>
      </c>
    </row>
    <row r="26" spans="1:53" s="163" customFormat="1" ht="150" customHeight="1" x14ac:dyDescent="0.2">
      <c r="A26" s="246"/>
      <c r="B26" s="224" t="s">
        <v>330</v>
      </c>
      <c r="C26" s="147" t="e">
        <f>J26-#REF!</f>
        <v>#REF!</v>
      </c>
      <c r="D26" s="242" t="s">
        <v>364</v>
      </c>
      <c r="E26" s="227"/>
      <c r="F26" s="223"/>
      <c r="G26" s="174" t="s">
        <v>112</v>
      </c>
      <c r="H26" s="228" t="s">
        <v>333</v>
      </c>
      <c r="I26" s="169" t="s">
        <v>365</v>
      </c>
      <c r="J26" s="229">
        <v>182000</v>
      </c>
      <c r="K26" s="230">
        <v>7051.94</v>
      </c>
      <c r="L26" s="164">
        <v>75753.460000000006</v>
      </c>
      <c r="M26" s="164">
        <v>99194.6</v>
      </c>
      <c r="N26" s="164">
        <v>0</v>
      </c>
      <c r="O26" s="164"/>
      <c r="P26" s="231"/>
      <c r="Q26" s="87"/>
      <c r="R26" s="87"/>
      <c r="S26" s="232"/>
      <c r="T26" s="233"/>
      <c r="U26" s="234"/>
      <c r="V26" s="234"/>
      <c r="W26" s="87"/>
      <c r="X26" s="87"/>
      <c r="Y26" s="87"/>
      <c r="Z26" s="87"/>
      <c r="AA26" s="87"/>
      <c r="AB26" s="181"/>
      <c r="AC26" s="181"/>
      <c r="AD26" s="181"/>
      <c r="AE26" s="181"/>
      <c r="AF26" s="181"/>
      <c r="AG26" s="181"/>
      <c r="AH26" s="181"/>
      <c r="AI26" s="181"/>
      <c r="AJ26" s="181"/>
      <c r="AK26" s="181"/>
      <c r="AL26" s="181">
        <v>7051.94</v>
      </c>
      <c r="AM26" s="185">
        <v>75753.460000000006</v>
      </c>
      <c r="AN26" s="181">
        <v>99194.6</v>
      </c>
      <c r="AO26" s="181"/>
      <c r="AP26" s="235"/>
      <c r="AQ26" s="232"/>
      <c r="AR26" s="232"/>
      <c r="AS26" s="157"/>
      <c r="AT26" s="232"/>
      <c r="AU26" s="232"/>
      <c r="AV26" s="233"/>
      <c r="AW26" s="171"/>
      <c r="AX26" s="87"/>
      <c r="AY26" s="88"/>
      <c r="AZ26" s="171"/>
      <c r="BA26" s="184">
        <f t="shared" si="0"/>
        <v>-1.4551915228366852E-11</v>
      </c>
    </row>
    <row r="27" spans="1:53" s="163" customFormat="1" ht="234.75" customHeight="1" x14ac:dyDescent="0.2">
      <c r="A27" s="223" t="s">
        <v>366</v>
      </c>
      <c r="B27" s="224" t="s">
        <v>330</v>
      </c>
      <c r="C27" s="147">
        <v>0</v>
      </c>
      <c r="D27" s="242" t="s">
        <v>367</v>
      </c>
      <c r="E27" s="227"/>
      <c r="F27" s="223"/>
      <c r="G27" s="174" t="s">
        <v>112</v>
      </c>
      <c r="H27" s="228" t="s">
        <v>333</v>
      </c>
      <c r="I27" s="169" t="s">
        <v>368</v>
      </c>
      <c r="J27" s="229">
        <v>205000</v>
      </c>
      <c r="K27" s="230">
        <v>174326.85</v>
      </c>
      <c r="L27" s="164">
        <v>30673.15</v>
      </c>
      <c r="M27" s="164">
        <v>0</v>
      </c>
      <c r="N27" s="164">
        <v>0</v>
      </c>
      <c r="O27" s="164"/>
      <c r="P27" s="231"/>
      <c r="Q27" s="87"/>
      <c r="R27" s="87"/>
      <c r="S27" s="232"/>
      <c r="T27" s="233"/>
      <c r="U27" s="234"/>
      <c r="V27" s="234"/>
      <c r="W27" s="87"/>
      <c r="X27" s="87"/>
      <c r="Y27" s="87"/>
      <c r="Z27" s="87"/>
      <c r="AA27" s="87"/>
      <c r="AB27" s="181"/>
      <c r="AC27" s="181"/>
      <c r="AD27" s="181"/>
      <c r="AE27" s="181"/>
      <c r="AF27" s="181"/>
      <c r="AG27" s="181"/>
      <c r="AH27" s="181"/>
      <c r="AI27" s="181"/>
      <c r="AJ27" s="181"/>
      <c r="AK27" s="181"/>
      <c r="AL27" s="181">
        <v>174326.85</v>
      </c>
      <c r="AM27" s="185">
        <v>30673.15</v>
      </c>
      <c r="AN27" s="181">
        <v>0</v>
      </c>
      <c r="AO27" s="181"/>
      <c r="AP27" s="232"/>
      <c r="AQ27" s="232"/>
      <c r="AR27" s="232"/>
      <c r="AS27" s="232"/>
      <c r="AT27" s="232"/>
      <c r="AU27" s="232"/>
      <c r="AV27" s="233"/>
      <c r="AW27" s="171"/>
      <c r="AX27" s="87"/>
      <c r="AY27" s="88"/>
      <c r="AZ27" s="171"/>
      <c r="BA27" s="184">
        <f t="shared" si="0"/>
        <v>-7.2759576141834259E-12</v>
      </c>
    </row>
    <row r="28" spans="1:53" s="163" customFormat="1" ht="179.25" customHeight="1" x14ac:dyDescent="0.2">
      <c r="A28" s="246"/>
      <c r="B28" s="224" t="s">
        <v>330</v>
      </c>
      <c r="C28" s="147"/>
      <c r="D28" s="242" t="s">
        <v>369</v>
      </c>
      <c r="E28" s="227" t="s">
        <v>370</v>
      </c>
      <c r="F28" s="223"/>
      <c r="G28" s="174" t="s">
        <v>112</v>
      </c>
      <c r="H28" s="228" t="s">
        <v>333</v>
      </c>
      <c r="I28" s="169" t="s">
        <v>371</v>
      </c>
      <c r="J28" s="229">
        <v>1632000</v>
      </c>
      <c r="K28" s="230">
        <v>28362.47</v>
      </c>
      <c r="L28" s="164">
        <v>1603637.53</v>
      </c>
      <c r="M28" s="164">
        <v>0</v>
      </c>
      <c r="N28" s="164">
        <v>0</v>
      </c>
      <c r="O28" s="164"/>
      <c r="P28" s="231"/>
      <c r="Q28" s="87"/>
      <c r="R28" s="87"/>
      <c r="S28" s="232"/>
      <c r="T28" s="233"/>
      <c r="U28" s="234"/>
      <c r="V28" s="234"/>
      <c r="W28" s="87"/>
      <c r="X28" s="87"/>
      <c r="Y28" s="87"/>
      <c r="Z28" s="87"/>
      <c r="AA28" s="87"/>
      <c r="AB28" s="181"/>
      <c r="AC28" s="181"/>
      <c r="AD28" s="181"/>
      <c r="AE28" s="181"/>
      <c r="AF28" s="181"/>
      <c r="AG28" s="181"/>
      <c r="AH28" s="181"/>
      <c r="AI28" s="181"/>
      <c r="AJ28" s="181"/>
      <c r="AK28" s="181"/>
      <c r="AL28" s="181">
        <v>28362.47</v>
      </c>
      <c r="AM28" s="181">
        <v>1603637.53</v>
      </c>
      <c r="AN28" s="181">
        <v>0</v>
      </c>
      <c r="AO28" s="181"/>
      <c r="AP28" s="232"/>
      <c r="AQ28" s="232"/>
      <c r="AR28" s="232"/>
      <c r="AS28" s="232"/>
      <c r="AT28" s="232"/>
      <c r="AU28" s="232"/>
      <c r="AV28" s="233"/>
      <c r="AW28" s="171"/>
      <c r="AX28" s="87"/>
      <c r="AY28" s="88"/>
      <c r="AZ28" s="171"/>
      <c r="BA28" s="184">
        <f t="shared" si="0"/>
        <v>0</v>
      </c>
    </row>
    <row r="29" spans="1:53" s="163" customFormat="1" ht="139.5" x14ac:dyDescent="0.2">
      <c r="A29" s="223" t="s">
        <v>372</v>
      </c>
      <c r="B29" s="224" t="s">
        <v>330</v>
      </c>
      <c r="C29" s="147"/>
      <c r="D29" s="242" t="s">
        <v>373</v>
      </c>
      <c r="E29" s="227"/>
      <c r="F29" s="223"/>
      <c r="G29" s="174" t="s">
        <v>112</v>
      </c>
      <c r="H29" s="228" t="s">
        <v>333</v>
      </c>
      <c r="I29" s="169" t="s">
        <v>374</v>
      </c>
      <c r="J29" s="229">
        <v>83110.210000000006</v>
      </c>
      <c r="K29" s="230">
        <v>0</v>
      </c>
      <c r="L29" s="164">
        <v>83110.210000000006</v>
      </c>
      <c r="M29" s="164">
        <v>0</v>
      </c>
      <c r="N29" s="164">
        <v>0</v>
      </c>
      <c r="O29" s="164"/>
      <c r="P29" s="231"/>
      <c r="Q29" s="87"/>
      <c r="R29" s="87"/>
      <c r="S29" s="232"/>
      <c r="T29" s="233"/>
      <c r="U29" s="234"/>
      <c r="V29" s="234"/>
      <c r="W29" s="87"/>
      <c r="X29" s="87"/>
      <c r="Y29" s="87"/>
      <c r="Z29" s="87"/>
      <c r="AA29" s="87"/>
      <c r="AB29" s="181"/>
      <c r="AC29" s="181"/>
      <c r="AD29" s="181"/>
      <c r="AE29" s="181"/>
      <c r="AF29" s="181"/>
      <c r="AG29" s="181"/>
      <c r="AH29" s="181"/>
      <c r="AI29" s="181"/>
      <c r="AJ29" s="181"/>
      <c r="AK29" s="181"/>
      <c r="AL29" s="181">
        <v>0</v>
      </c>
      <c r="AM29" s="185">
        <v>83110.210000000006</v>
      </c>
      <c r="AN29" s="181">
        <v>0</v>
      </c>
      <c r="AO29" s="181"/>
      <c r="AP29" s="235"/>
      <c r="AQ29" s="232"/>
      <c r="AR29" s="232"/>
      <c r="AS29" s="232"/>
      <c r="AT29" s="232"/>
      <c r="AU29" s="232"/>
      <c r="AV29" s="233"/>
      <c r="AW29" s="171"/>
      <c r="AX29" s="87"/>
      <c r="AY29" s="88"/>
      <c r="AZ29" s="171"/>
      <c r="BA29" s="184">
        <f t="shared" si="0"/>
        <v>0</v>
      </c>
    </row>
    <row r="30" spans="1:53" s="163" customFormat="1" ht="139.5" x14ac:dyDescent="0.2">
      <c r="A30" s="223" t="s">
        <v>344</v>
      </c>
      <c r="B30" s="224" t="s">
        <v>330</v>
      </c>
      <c r="C30" s="147"/>
      <c r="D30" s="242" t="s">
        <v>375</v>
      </c>
      <c r="E30" s="227"/>
      <c r="F30" s="223"/>
      <c r="G30" s="174" t="s">
        <v>376</v>
      </c>
      <c r="H30" s="228" t="s">
        <v>333</v>
      </c>
      <c r="I30" s="169" t="s">
        <v>377</v>
      </c>
      <c r="J30" s="248">
        <v>503600</v>
      </c>
      <c r="K30" s="249">
        <v>419645.73</v>
      </c>
      <c r="L30" s="164">
        <v>83954.27</v>
      </c>
      <c r="M30" s="164">
        <v>0</v>
      </c>
      <c r="N30" s="164">
        <v>0</v>
      </c>
      <c r="O30" s="164"/>
      <c r="P30" s="239"/>
      <c r="Q30" s="181"/>
      <c r="R30" s="181"/>
      <c r="S30" s="232"/>
      <c r="T30" s="233"/>
      <c r="U30" s="250"/>
      <c r="V30" s="250"/>
      <c r="W30" s="181"/>
      <c r="X30" s="181"/>
      <c r="Y30" s="181"/>
      <c r="Z30" s="87"/>
      <c r="AA30" s="87"/>
      <c r="AB30" s="243"/>
      <c r="AC30" s="243"/>
      <c r="AD30" s="243"/>
      <c r="AE30" s="243"/>
      <c r="AF30" s="243"/>
      <c r="AG30" s="243"/>
      <c r="AH30" s="243"/>
      <c r="AI30" s="87"/>
      <c r="AJ30" s="241"/>
      <c r="AK30" s="185"/>
      <c r="AL30" s="181">
        <v>419645.73</v>
      </c>
      <c r="AM30" s="185">
        <v>83954.27</v>
      </c>
      <c r="AN30" s="181">
        <v>0</v>
      </c>
      <c r="AO30" s="181"/>
      <c r="AP30" s="232"/>
      <c r="AQ30" s="232"/>
      <c r="AR30" s="232"/>
      <c r="AS30" s="232"/>
      <c r="AT30" s="236"/>
      <c r="AU30" s="236"/>
      <c r="AV30" s="251"/>
      <c r="AW30" s="184"/>
      <c r="AX30" s="87"/>
      <c r="AY30" s="88"/>
      <c r="AZ30" s="184"/>
      <c r="BA30" s="184">
        <f t="shared" si="0"/>
        <v>1.4551915228366852E-11</v>
      </c>
    </row>
    <row r="31" spans="1:53" s="163" customFormat="1" ht="58.5" customHeight="1" x14ac:dyDescent="0.2">
      <c r="A31" s="246" t="s">
        <v>378</v>
      </c>
      <c r="B31" s="224" t="s">
        <v>330</v>
      </c>
      <c r="C31" s="147"/>
      <c r="D31" s="223" t="s">
        <v>379</v>
      </c>
      <c r="E31" s="227" t="s">
        <v>370</v>
      </c>
      <c r="F31" s="223"/>
      <c r="G31" s="174" t="s">
        <v>112</v>
      </c>
      <c r="H31" s="228" t="s">
        <v>333</v>
      </c>
      <c r="I31" s="252" t="s">
        <v>380</v>
      </c>
      <c r="J31" s="253">
        <v>19355293</v>
      </c>
      <c r="K31" s="185">
        <v>73541.77</v>
      </c>
      <c r="L31" s="164">
        <v>950000</v>
      </c>
      <c r="M31" s="164">
        <v>1000000</v>
      </c>
      <c r="N31" s="164">
        <v>1556458.23</v>
      </c>
      <c r="O31" s="164">
        <v>15775293</v>
      </c>
      <c r="P31" s="239"/>
      <c r="Q31" s="181"/>
      <c r="R31" s="181"/>
      <c r="S31" s="254"/>
      <c r="T31" s="250"/>
      <c r="U31" s="236"/>
      <c r="V31" s="236"/>
      <c r="W31" s="181"/>
      <c r="X31" s="181"/>
      <c r="Y31" s="181"/>
      <c r="Z31" s="239"/>
      <c r="AA31" s="181"/>
      <c r="AB31" s="181"/>
      <c r="AC31" s="181"/>
      <c r="AD31" s="181"/>
      <c r="AE31" s="181"/>
      <c r="AF31" s="181"/>
      <c r="AG31" s="181"/>
      <c r="AH31" s="185"/>
      <c r="AI31" s="181"/>
      <c r="AJ31" s="181"/>
      <c r="AK31" s="181"/>
      <c r="AL31" s="181">
        <v>73541.77</v>
      </c>
      <c r="AM31" s="185">
        <v>950000</v>
      </c>
      <c r="AN31" s="181">
        <v>2556458.23</v>
      </c>
      <c r="AO31" s="181"/>
      <c r="AP31" s="235"/>
      <c r="AQ31" s="232"/>
      <c r="AR31" s="232"/>
      <c r="AS31" s="232"/>
      <c r="AT31" s="232"/>
      <c r="AU31" s="232"/>
      <c r="AV31" s="233"/>
      <c r="AW31" s="171"/>
      <c r="AX31" s="87"/>
      <c r="AY31" s="88"/>
      <c r="AZ31" s="171">
        <v>15775293</v>
      </c>
      <c r="BA31" s="184">
        <f t="shared" si="0"/>
        <v>0</v>
      </c>
    </row>
    <row r="32" spans="1:53" s="163" customFormat="1" ht="54" customHeight="1" x14ac:dyDescent="0.2">
      <c r="A32" s="223"/>
      <c r="B32" s="224"/>
      <c r="C32" s="147"/>
      <c r="D32" s="242" t="s">
        <v>381</v>
      </c>
      <c r="E32" s="227"/>
      <c r="F32" s="223"/>
      <c r="G32" s="174"/>
      <c r="H32" s="228"/>
      <c r="I32" s="169" t="s">
        <v>382</v>
      </c>
      <c r="J32" s="229">
        <v>5000000</v>
      </c>
      <c r="K32" s="230">
        <v>0</v>
      </c>
      <c r="L32" s="164">
        <v>100000</v>
      </c>
      <c r="M32" s="164">
        <v>2500000</v>
      </c>
      <c r="N32" s="164">
        <v>2400000</v>
      </c>
      <c r="O32" s="164"/>
      <c r="P32" s="231"/>
      <c r="Q32" s="87"/>
      <c r="R32" s="87"/>
      <c r="S32" s="232"/>
      <c r="T32" s="233"/>
      <c r="U32" s="234"/>
      <c r="V32" s="234"/>
      <c r="W32" s="87"/>
      <c r="X32" s="87"/>
      <c r="Y32" s="87"/>
      <c r="Z32" s="87"/>
      <c r="AA32" s="87"/>
      <c r="AB32" s="181"/>
      <c r="AC32" s="181"/>
      <c r="AD32" s="181"/>
      <c r="AE32" s="181"/>
      <c r="AF32" s="181"/>
      <c r="AG32" s="181"/>
      <c r="AH32" s="181"/>
      <c r="AI32" s="181"/>
      <c r="AJ32" s="181"/>
      <c r="AK32" s="181"/>
      <c r="AL32" s="181">
        <v>0</v>
      </c>
      <c r="AM32" s="185">
        <v>100000</v>
      </c>
      <c r="AN32" s="181">
        <v>4900000</v>
      </c>
      <c r="AO32" s="181"/>
      <c r="AP32" s="235"/>
      <c r="AQ32" s="232"/>
      <c r="AR32" s="232"/>
      <c r="AS32" s="232"/>
      <c r="AT32" s="232"/>
      <c r="AU32" s="232"/>
      <c r="AV32" s="233"/>
      <c r="AW32" s="171"/>
      <c r="AX32" s="87"/>
      <c r="AY32" s="88"/>
      <c r="AZ32" s="171"/>
      <c r="BA32" s="184">
        <f t="shared" si="0"/>
        <v>0</v>
      </c>
    </row>
    <row r="33" spans="1:53" s="163" customFormat="1" ht="54" customHeight="1" x14ac:dyDescent="0.2">
      <c r="A33" s="223"/>
      <c r="B33" s="224"/>
      <c r="C33" s="147"/>
      <c r="D33" s="242"/>
      <c r="E33" s="227"/>
      <c r="F33" s="223"/>
      <c r="G33" s="174"/>
      <c r="H33" s="228"/>
      <c r="I33" s="169" t="s">
        <v>383</v>
      </c>
      <c r="J33" s="229">
        <v>700000</v>
      </c>
      <c r="K33" s="230"/>
      <c r="L33" s="164">
        <f>700000</f>
        <v>700000</v>
      </c>
      <c r="M33" s="164">
        <f>700000-700000</f>
        <v>0</v>
      </c>
      <c r="N33" s="164"/>
      <c r="O33" s="164"/>
      <c r="P33" s="231"/>
      <c r="Q33" s="87"/>
      <c r="R33" s="87"/>
      <c r="S33" s="232"/>
      <c r="T33" s="233"/>
      <c r="U33" s="234"/>
      <c r="V33" s="234"/>
      <c r="W33" s="87"/>
      <c r="X33" s="87"/>
      <c r="Y33" s="87"/>
      <c r="Z33" s="87"/>
      <c r="AA33" s="87"/>
      <c r="AB33" s="181"/>
      <c r="AC33" s="181"/>
      <c r="AD33" s="181"/>
      <c r="AE33" s="181"/>
      <c r="AF33" s="181"/>
      <c r="AG33" s="181"/>
      <c r="AH33" s="181"/>
      <c r="AI33" s="181"/>
      <c r="AJ33" s="181"/>
      <c r="AK33" s="181"/>
      <c r="AL33" s="181">
        <v>0</v>
      </c>
      <c r="AM33" s="185">
        <v>700000</v>
      </c>
      <c r="AN33" s="181">
        <v>0</v>
      </c>
      <c r="AO33" s="181"/>
      <c r="AP33" s="235"/>
      <c r="AQ33" s="232"/>
      <c r="AR33" s="232"/>
      <c r="AS33" s="232"/>
      <c r="AT33" s="232"/>
      <c r="AU33" s="232"/>
      <c r="AV33" s="233"/>
      <c r="AW33" s="171"/>
      <c r="AX33" s="87"/>
      <c r="AY33" s="88"/>
      <c r="AZ33" s="171"/>
      <c r="BA33" s="184">
        <f t="shared" si="0"/>
        <v>0</v>
      </c>
    </row>
    <row r="34" spans="1:53" s="163" customFormat="1" ht="64.5" customHeight="1" x14ac:dyDescent="0.2">
      <c r="A34" s="223"/>
      <c r="B34" s="224"/>
      <c r="C34" s="147"/>
      <c r="D34" s="242"/>
      <c r="E34" s="227"/>
      <c r="F34" s="223"/>
      <c r="G34" s="174"/>
      <c r="H34" s="228"/>
      <c r="I34" s="169" t="s">
        <v>384</v>
      </c>
      <c r="J34" s="229">
        <v>500000</v>
      </c>
      <c r="K34" s="230"/>
      <c r="L34" s="164">
        <v>500000</v>
      </c>
      <c r="M34" s="164"/>
      <c r="N34" s="164"/>
      <c r="O34" s="164"/>
      <c r="P34" s="231"/>
      <c r="Q34" s="87"/>
      <c r="R34" s="87"/>
      <c r="S34" s="232"/>
      <c r="T34" s="233"/>
      <c r="U34" s="234"/>
      <c r="V34" s="234"/>
      <c r="W34" s="87"/>
      <c r="X34" s="87"/>
      <c r="Y34" s="87"/>
      <c r="Z34" s="87"/>
      <c r="AA34" s="87"/>
      <c r="AB34" s="181"/>
      <c r="AC34" s="181"/>
      <c r="AD34" s="181"/>
      <c r="AE34" s="181"/>
      <c r="AF34" s="181"/>
      <c r="AG34" s="181"/>
      <c r="AH34" s="181"/>
      <c r="AI34" s="181"/>
      <c r="AJ34" s="181"/>
      <c r="AK34" s="181"/>
      <c r="AL34" s="181">
        <v>0</v>
      </c>
      <c r="AM34" s="185">
        <v>500000</v>
      </c>
      <c r="AN34" s="181">
        <v>0</v>
      </c>
      <c r="AO34" s="181"/>
      <c r="AP34" s="235"/>
      <c r="AQ34" s="232"/>
      <c r="AR34" s="232"/>
      <c r="AS34" s="232"/>
      <c r="AT34" s="232"/>
      <c r="AU34" s="232"/>
      <c r="AV34" s="233"/>
      <c r="AW34" s="171"/>
      <c r="AX34" s="87"/>
      <c r="AY34" s="88"/>
      <c r="AZ34" s="171"/>
      <c r="BA34" s="184">
        <f t="shared" si="0"/>
        <v>0</v>
      </c>
    </row>
    <row r="35" spans="1:53" s="163" customFormat="1" ht="73.5" customHeight="1" x14ac:dyDescent="0.2">
      <c r="A35" s="223"/>
      <c r="B35" s="224"/>
      <c r="C35" s="147"/>
      <c r="D35" s="242" t="s">
        <v>385</v>
      </c>
      <c r="E35" s="227"/>
      <c r="F35" s="223"/>
      <c r="G35" s="174"/>
      <c r="H35" s="228"/>
      <c r="I35" s="169" t="s">
        <v>386</v>
      </c>
      <c r="J35" s="229">
        <v>420000</v>
      </c>
      <c r="K35" s="230"/>
      <c r="L35" s="164">
        <v>140000</v>
      </c>
      <c r="M35" s="164">
        <v>280000</v>
      </c>
      <c r="N35" s="164"/>
      <c r="O35" s="164"/>
      <c r="P35" s="231"/>
      <c r="Q35" s="87"/>
      <c r="R35" s="87"/>
      <c r="S35" s="232"/>
      <c r="T35" s="233"/>
      <c r="U35" s="234"/>
      <c r="V35" s="234"/>
      <c r="W35" s="87"/>
      <c r="X35" s="87"/>
      <c r="Y35" s="87">
        <f>Z35</f>
        <v>378000</v>
      </c>
      <c r="Z35" s="87">
        <v>378000</v>
      </c>
      <c r="AA35" s="87"/>
      <c r="AB35" s="181"/>
      <c r="AC35" s="181"/>
      <c r="AD35" s="181"/>
      <c r="AE35" s="181"/>
      <c r="AF35" s="181"/>
      <c r="AG35" s="181"/>
      <c r="AH35" s="181"/>
      <c r="AI35" s="181"/>
      <c r="AJ35" s="181"/>
      <c r="AK35" s="181"/>
      <c r="AL35" s="181">
        <v>0</v>
      </c>
      <c r="AM35" s="185">
        <v>42000</v>
      </c>
      <c r="AN35" s="181">
        <v>0</v>
      </c>
      <c r="AO35" s="181">
        <f>378000-378000</f>
        <v>0</v>
      </c>
      <c r="AP35" s="235"/>
      <c r="AQ35" s="232"/>
      <c r="AR35" s="232"/>
      <c r="AS35" s="232"/>
      <c r="AT35" s="232"/>
      <c r="AU35" s="232"/>
      <c r="AV35" s="233"/>
      <c r="AW35" s="171"/>
      <c r="AX35" s="87"/>
      <c r="AY35" s="88"/>
      <c r="AZ35" s="171"/>
      <c r="BA35" s="184">
        <f t="shared" si="0"/>
        <v>0</v>
      </c>
    </row>
    <row r="36" spans="1:53" s="163" customFormat="1" ht="69.75" x14ac:dyDescent="0.2">
      <c r="A36" s="223"/>
      <c r="B36" s="224"/>
      <c r="C36" s="147"/>
      <c r="D36" s="242" t="s">
        <v>387</v>
      </c>
      <c r="E36" s="227"/>
      <c r="F36" s="223"/>
      <c r="G36" s="174"/>
      <c r="H36" s="228"/>
      <c r="I36" s="169" t="s">
        <v>388</v>
      </c>
      <c r="J36" s="229">
        <v>580000</v>
      </c>
      <c r="K36" s="230"/>
      <c r="L36" s="164">
        <v>190000</v>
      </c>
      <c r="M36" s="164">
        <v>390000</v>
      </c>
      <c r="N36" s="164"/>
      <c r="O36" s="164"/>
      <c r="P36" s="231"/>
      <c r="Q36" s="87"/>
      <c r="R36" s="87"/>
      <c r="S36" s="232"/>
      <c r="T36" s="233"/>
      <c r="U36" s="234"/>
      <c r="V36" s="234"/>
      <c r="W36" s="87"/>
      <c r="X36" s="87"/>
      <c r="Y36" s="87">
        <f>Z36</f>
        <v>464000</v>
      </c>
      <c r="Z36" s="87">
        <v>464000</v>
      </c>
      <c r="AA36" s="87"/>
      <c r="AB36" s="181"/>
      <c r="AC36" s="181"/>
      <c r="AD36" s="181"/>
      <c r="AE36" s="181"/>
      <c r="AF36" s="181"/>
      <c r="AG36" s="181"/>
      <c r="AH36" s="181"/>
      <c r="AI36" s="181"/>
      <c r="AJ36" s="181"/>
      <c r="AK36" s="181"/>
      <c r="AL36" s="181">
        <v>0</v>
      </c>
      <c r="AM36" s="185">
        <v>116000</v>
      </c>
      <c r="AN36" s="181">
        <v>0</v>
      </c>
      <c r="AO36" s="181">
        <f>464000-464000</f>
        <v>0</v>
      </c>
      <c r="AP36" s="235"/>
      <c r="AQ36" s="232"/>
      <c r="AR36" s="232"/>
      <c r="AS36" s="232"/>
      <c r="AT36" s="232"/>
      <c r="AU36" s="232"/>
      <c r="AV36" s="233"/>
      <c r="AW36" s="171"/>
      <c r="AX36" s="87"/>
      <c r="AY36" s="88"/>
      <c r="AZ36" s="171"/>
      <c r="BA36" s="184">
        <f t="shared" si="0"/>
        <v>0</v>
      </c>
    </row>
    <row r="37" spans="1:53" s="163" customFormat="1" ht="76.5" customHeight="1" x14ac:dyDescent="0.2">
      <c r="A37" s="223"/>
      <c r="B37" s="224"/>
      <c r="C37" s="147"/>
      <c r="D37" s="242" t="s">
        <v>389</v>
      </c>
      <c r="E37" s="227"/>
      <c r="F37" s="223"/>
      <c r="G37" s="174"/>
      <c r="H37" s="228"/>
      <c r="I37" s="169" t="s">
        <v>390</v>
      </c>
      <c r="J37" s="229">
        <v>270000</v>
      </c>
      <c r="K37" s="230"/>
      <c r="L37" s="164">
        <v>90000</v>
      </c>
      <c r="M37" s="164">
        <v>180000</v>
      </c>
      <c r="N37" s="164"/>
      <c r="O37" s="164"/>
      <c r="P37" s="231"/>
      <c r="Q37" s="87"/>
      <c r="R37" s="87"/>
      <c r="S37" s="232"/>
      <c r="T37" s="233"/>
      <c r="U37" s="234"/>
      <c r="V37" s="234"/>
      <c r="W37" s="87"/>
      <c r="X37" s="87"/>
      <c r="Y37" s="87">
        <f>Z37</f>
        <v>243000</v>
      </c>
      <c r="Z37" s="87">
        <v>243000</v>
      </c>
      <c r="AA37" s="87"/>
      <c r="AB37" s="181"/>
      <c r="AC37" s="181"/>
      <c r="AD37" s="181"/>
      <c r="AE37" s="181"/>
      <c r="AF37" s="181"/>
      <c r="AG37" s="181"/>
      <c r="AH37" s="181"/>
      <c r="AI37" s="181"/>
      <c r="AJ37" s="181"/>
      <c r="AK37" s="181"/>
      <c r="AL37" s="181">
        <v>0</v>
      </c>
      <c r="AM37" s="185">
        <v>27000</v>
      </c>
      <c r="AN37" s="181">
        <v>0</v>
      </c>
      <c r="AO37" s="181">
        <f>243000-243000</f>
        <v>0</v>
      </c>
      <c r="AP37" s="235"/>
      <c r="AQ37" s="232"/>
      <c r="AR37" s="232"/>
      <c r="AS37" s="232"/>
      <c r="AT37" s="232"/>
      <c r="AU37" s="232"/>
      <c r="AV37" s="233"/>
      <c r="AW37" s="171"/>
      <c r="AX37" s="87"/>
      <c r="AY37" s="88"/>
      <c r="AZ37" s="171"/>
      <c r="BA37" s="184">
        <f t="shared" si="0"/>
        <v>0</v>
      </c>
    </row>
    <row r="38" spans="1:53" s="163" customFormat="1" ht="99.75" customHeight="1" x14ac:dyDescent="0.2">
      <c r="A38" s="223"/>
      <c r="B38" s="224"/>
      <c r="C38" s="147"/>
      <c r="D38" s="242" t="s">
        <v>391</v>
      </c>
      <c r="E38" s="227"/>
      <c r="F38" s="223"/>
      <c r="G38" s="174"/>
      <c r="H38" s="228"/>
      <c r="I38" s="169" t="s">
        <v>392</v>
      </c>
      <c r="J38" s="229">
        <v>155000</v>
      </c>
      <c r="K38" s="230"/>
      <c r="L38" s="164">
        <v>50000</v>
      </c>
      <c r="M38" s="164">
        <v>105000</v>
      </c>
      <c r="N38" s="164"/>
      <c r="O38" s="164"/>
      <c r="P38" s="231"/>
      <c r="Q38" s="87"/>
      <c r="R38" s="87"/>
      <c r="S38" s="232"/>
      <c r="T38" s="233"/>
      <c r="U38" s="234"/>
      <c r="V38" s="234"/>
      <c r="W38" s="87"/>
      <c r="X38" s="87"/>
      <c r="Y38" s="87">
        <f>Z38</f>
        <v>124000</v>
      </c>
      <c r="Z38" s="87">
        <v>124000</v>
      </c>
      <c r="AA38" s="87"/>
      <c r="AB38" s="181"/>
      <c r="AC38" s="181"/>
      <c r="AD38" s="181"/>
      <c r="AE38" s="181"/>
      <c r="AF38" s="181"/>
      <c r="AG38" s="181"/>
      <c r="AH38" s="181"/>
      <c r="AI38" s="181"/>
      <c r="AJ38" s="181"/>
      <c r="AK38" s="181"/>
      <c r="AL38" s="181">
        <v>0</v>
      </c>
      <c r="AM38" s="255">
        <v>31000</v>
      </c>
      <c r="AN38" s="181">
        <v>0</v>
      </c>
      <c r="AO38" s="181">
        <f>124000-124000</f>
        <v>0</v>
      </c>
      <c r="AP38" s="235"/>
      <c r="AQ38" s="232"/>
      <c r="AR38" s="232"/>
      <c r="AS38" s="232"/>
      <c r="AT38" s="232"/>
      <c r="AU38" s="232"/>
      <c r="AV38" s="233"/>
      <c r="AW38" s="171"/>
      <c r="AX38" s="87"/>
      <c r="AY38" s="88"/>
      <c r="AZ38" s="171"/>
      <c r="BA38" s="184">
        <f t="shared" si="0"/>
        <v>0</v>
      </c>
    </row>
    <row r="39" spans="1:53" s="163" customFormat="1" ht="106.5" customHeight="1" thickBot="1" x14ac:dyDescent="0.25">
      <c r="A39" s="256"/>
      <c r="C39" s="257"/>
      <c r="D39" s="242" t="s">
        <v>393</v>
      </c>
      <c r="E39" s="258"/>
      <c r="F39" s="258"/>
      <c r="G39" s="259"/>
      <c r="H39" s="260"/>
      <c r="I39" s="169" t="s">
        <v>194</v>
      </c>
      <c r="J39" s="229">
        <v>30000</v>
      </c>
      <c r="K39" s="230">
        <v>0</v>
      </c>
      <c r="L39" s="186">
        <v>30000</v>
      </c>
      <c r="M39" s="186"/>
      <c r="N39" s="186"/>
      <c r="O39" s="186"/>
      <c r="P39" s="261"/>
      <c r="Q39" s="245"/>
      <c r="R39" s="245"/>
      <c r="S39" s="262"/>
      <c r="T39" s="263"/>
      <c r="U39" s="263"/>
      <c r="V39" s="263"/>
      <c r="W39" s="245"/>
      <c r="X39" s="245"/>
      <c r="Y39" s="245"/>
      <c r="Z39" s="245"/>
      <c r="AA39" s="245"/>
      <c r="AB39" s="245"/>
      <c r="AC39" s="245"/>
      <c r="AD39" s="245"/>
      <c r="AE39" s="245"/>
      <c r="AF39" s="245"/>
      <c r="AG39" s="245"/>
      <c r="AH39" s="245"/>
      <c r="AI39" s="185"/>
      <c r="AJ39" s="185"/>
      <c r="AK39" s="185"/>
      <c r="AL39" s="185">
        <v>0</v>
      </c>
      <c r="AM39" s="255">
        <v>30000</v>
      </c>
      <c r="AN39" s="181">
        <v>0</v>
      </c>
      <c r="AO39" s="181"/>
      <c r="AP39" s="245"/>
      <c r="AQ39" s="245"/>
      <c r="AR39" s="245"/>
      <c r="AS39" s="245"/>
      <c r="AT39" s="262"/>
      <c r="AU39" s="262"/>
      <c r="AV39" s="263"/>
      <c r="AW39" s="261"/>
      <c r="AX39" s="245"/>
      <c r="AY39" s="264"/>
      <c r="AZ39" s="261"/>
      <c r="BA39" s="184">
        <f t="shared" si="0"/>
        <v>0</v>
      </c>
    </row>
    <row r="40" spans="1:53" s="163" customFormat="1" ht="47.25" thickBot="1" x14ac:dyDescent="0.25">
      <c r="A40" s="256"/>
      <c r="C40" s="265" t="e">
        <f>SUM(C12:C31)</f>
        <v>#REF!</v>
      </c>
      <c r="D40" s="266"/>
      <c r="E40" s="256"/>
      <c r="F40" s="256"/>
      <c r="G40" s="256"/>
      <c r="H40" s="256"/>
      <c r="I40" s="267" t="s">
        <v>394</v>
      </c>
      <c r="J40" s="268">
        <f t="shared" ref="J40:BA40" si="1">SUM(J12:J39)</f>
        <v>208521975.40000001</v>
      </c>
      <c r="K40" s="268">
        <f t="shared" si="1"/>
        <v>156660074.44999999</v>
      </c>
      <c r="L40" s="268">
        <f t="shared" si="1"/>
        <v>10554885.460000001</v>
      </c>
      <c r="M40" s="268">
        <f t="shared" si="1"/>
        <v>12871359.35</v>
      </c>
      <c r="N40" s="268">
        <f t="shared" si="1"/>
        <v>7473458.2300000004</v>
      </c>
      <c r="O40" s="268">
        <f t="shared" si="1"/>
        <v>20962197.91</v>
      </c>
      <c r="P40" s="268">
        <f t="shared" si="1"/>
        <v>478800</v>
      </c>
      <c r="Q40" s="268">
        <f t="shared" si="1"/>
        <v>1363800</v>
      </c>
      <c r="R40" s="268">
        <f t="shared" si="1"/>
        <v>42406636.420000002</v>
      </c>
      <c r="S40" s="268">
        <f t="shared" si="1"/>
        <v>0</v>
      </c>
      <c r="T40" s="268">
        <f t="shared" si="1"/>
        <v>0</v>
      </c>
      <c r="U40" s="268">
        <f t="shared" si="1"/>
        <v>0</v>
      </c>
      <c r="V40" s="268">
        <f t="shared" si="1"/>
        <v>0</v>
      </c>
      <c r="W40" s="268">
        <f t="shared" si="1"/>
        <v>13979667.33</v>
      </c>
      <c r="X40" s="268">
        <f t="shared" si="1"/>
        <v>0</v>
      </c>
      <c r="Y40" s="268">
        <f t="shared" si="1"/>
        <v>26259000</v>
      </c>
      <c r="Z40" s="268">
        <f t="shared" si="1"/>
        <v>1209000</v>
      </c>
      <c r="AA40" s="268">
        <f t="shared" si="1"/>
        <v>0</v>
      </c>
      <c r="AB40" s="268">
        <f t="shared" si="1"/>
        <v>0</v>
      </c>
      <c r="AC40" s="268">
        <f t="shared" si="1"/>
        <v>0</v>
      </c>
      <c r="AD40" s="268">
        <f t="shared" si="1"/>
        <v>0</v>
      </c>
      <c r="AE40" s="268">
        <f t="shared" si="1"/>
        <v>0</v>
      </c>
      <c r="AF40" s="268">
        <f t="shared" si="1"/>
        <v>0</v>
      </c>
      <c r="AG40" s="268">
        <f t="shared" si="1"/>
        <v>0</v>
      </c>
      <c r="AH40" s="268">
        <f t="shared" si="1"/>
        <v>0</v>
      </c>
      <c r="AI40" s="268">
        <f t="shared" si="1"/>
        <v>0</v>
      </c>
      <c r="AJ40" s="268">
        <f t="shared" si="1"/>
        <v>0</v>
      </c>
      <c r="AK40" s="268">
        <f t="shared" si="1"/>
        <v>0</v>
      </c>
      <c r="AL40" s="268">
        <f t="shared" si="1"/>
        <v>1734476.88</v>
      </c>
      <c r="AM40" s="268">
        <f t="shared" si="1"/>
        <v>7680373.54</v>
      </c>
      <c r="AN40" s="268">
        <f t="shared" si="1"/>
        <v>11559017.58</v>
      </c>
      <c r="AO40" s="268">
        <f t="shared" si="1"/>
        <v>13458193.23</v>
      </c>
      <c r="AP40" s="268">
        <f t="shared" si="1"/>
        <v>0</v>
      </c>
      <c r="AQ40" s="268">
        <f t="shared" si="1"/>
        <v>0</v>
      </c>
      <c r="AR40" s="268">
        <f t="shared" si="1"/>
        <v>0</v>
      </c>
      <c r="AS40" s="268">
        <f t="shared" si="1"/>
        <v>0</v>
      </c>
      <c r="AT40" s="268">
        <f t="shared" si="1"/>
        <v>0</v>
      </c>
      <c r="AU40" s="268">
        <f t="shared" si="1"/>
        <v>0</v>
      </c>
      <c r="AV40" s="268">
        <f t="shared" si="1"/>
        <v>0</v>
      </c>
      <c r="AW40" s="268">
        <f t="shared" si="1"/>
        <v>68639812.50999999</v>
      </c>
      <c r="AX40" s="268">
        <f t="shared" si="1"/>
        <v>0</v>
      </c>
      <c r="AY40" s="268">
        <f t="shared" si="1"/>
        <v>0</v>
      </c>
      <c r="AZ40" s="268">
        <f t="shared" si="1"/>
        <v>20962197.91</v>
      </c>
      <c r="BA40" s="268">
        <f t="shared" si="1"/>
        <v>1.5352270565927029E-8</v>
      </c>
    </row>
    <row r="41" spans="1:53" ht="26.25" x14ac:dyDescent="0.2">
      <c r="A41" s="105"/>
      <c r="B41" s="53"/>
      <c r="C41" s="269"/>
      <c r="D41" s="190"/>
      <c r="E41" s="105"/>
      <c r="F41" s="105"/>
      <c r="G41" s="105"/>
      <c r="H41" s="105"/>
      <c r="I41" s="270"/>
      <c r="J41" s="269"/>
      <c r="K41" s="269"/>
      <c r="L41" s="269"/>
      <c r="M41" s="269"/>
      <c r="N41" s="269"/>
      <c r="O41" s="269"/>
      <c r="P41" s="269"/>
      <c r="Q41" s="269"/>
      <c r="R41" s="269"/>
      <c r="S41" s="269"/>
      <c r="T41" s="269"/>
      <c r="U41" s="269"/>
      <c r="V41" s="269"/>
      <c r="W41" s="269"/>
      <c r="X41" s="269"/>
      <c r="Y41" s="269"/>
      <c r="Z41" s="269"/>
      <c r="AA41" s="269"/>
      <c r="AB41" s="269"/>
      <c r="AC41" s="269"/>
      <c r="AD41" s="269"/>
      <c r="AE41" s="269"/>
      <c r="AF41" s="269"/>
      <c r="AG41" s="269"/>
      <c r="AH41" s="269"/>
      <c r="AI41" s="269"/>
      <c r="AJ41" s="269"/>
      <c r="AK41" s="269"/>
      <c r="AL41" s="269"/>
      <c r="AM41" s="269"/>
      <c r="AN41" s="269"/>
      <c r="AO41" s="269"/>
      <c r="AP41" s="269"/>
      <c r="AQ41" s="269"/>
      <c r="AR41" s="269"/>
      <c r="AS41" s="269"/>
      <c r="AT41" s="269"/>
      <c r="AU41" s="269"/>
      <c r="AV41" s="269"/>
      <c r="AW41" s="269"/>
      <c r="AX41" s="269"/>
      <c r="AY41" s="269"/>
      <c r="AZ41" s="269"/>
      <c r="BA41" s="269"/>
    </row>
    <row r="42" spans="1:53" ht="27" hidden="1" customHeight="1" x14ac:dyDescent="0.2">
      <c r="A42" s="105"/>
      <c r="B42" s="53"/>
      <c r="C42" s="269"/>
      <c r="D42" s="190"/>
      <c r="E42" s="105"/>
      <c r="F42" s="105"/>
      <c r="G42" s="105"/>
      <c r="H42" s="105"/>
      <c r="I42" s="270"/>
      <c r="J42" s="269"/>
      <c r="K42" s="269"/>
      <c r="L42" s="269"/>
      <c r="M42" s="269"/>
      <c r="N42" s="269"/>
      <c r="O42" s="269"/>
      <c r="P42" s="269"/>
      <c r="Q42" s="269"/>
      <c r="R42" s="269"/>
      <c r="S42" s="269"/>
      <c r="T42" s="269"/>
      <c r="U42" s="269"/>
      <c r="V42" s="269"/>
      <c r="W42" s="269"/>
      <c r="X42" s="269"/>
      <c r="Y42" s="269"/>
      <c r="Z42" s="269"/>
      <c r="AA42" s="269"/>
      <c r="AB42" s="269"/>
      <c r="AC42" s="269"/>
      <c r="AD42" s="269"/>
      <c r="AE42" s="269"/>
      <c r="AF42" s="269"/>
      <c r="AG42" s="269"/>
      <c r="AH42" s="269"/>
      <c r="AI42" s="269"/>
      <c r="AJ42" s="269"/>
      <c r="AK42" s="269"/>
      <c r="AL42" s="269"/>
      <c r="AM42" s="269"/>
      <c r="AN42" s="269"/>
      <c r="AO42" s="269"/>
      <c r="AP42" s="269"/>
      <c r="AQ42" s="269"/>
      <c r="AR42" s="269"/>
      <c r="AS42" s="269"/>
      <c r="AT42" s="269"/>
      <c r="AU42" s="269"/>
      <c r="AV42" s="269"/>
      <c r="AW42" s="269"/>
      <c r="AX42" s="269"/>
      <c r="AY42" s="269"/>
      <c r="AZ42" s="269"/>
      <c r="BA42" s="269"/>
    </row>
    <row r="43" spans="1:53" ht="27" hidden="1" customHeight="1" x14ac:dyDescent="0.2">
      <c r="A43" s="105"/>
      <c r="B43" s="53"/>
      <c r="C43" s="271"/>
      <c r="D43" s="190"/>
      <c r="E43" s="105"/>
      <c r="F43" s="105"/>
      <c r="G43" s="105"/>
      <c r="H43" s="105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</row>
    <row r="44" spans="1:53" ht="324" hidden="1" customHeight="1" x14ac:dyDescent="0.2">
      <c r="A44" s="272" t="s">
        <v>335</v>
      </c>
      <c r="B44" s="273" t="s">
        <v>330</v>
      </c>
      <c r="C44" s="274" t="e">
        <f>J44-#REF!</f>
        <v>#REF!</v>
      </c>
      <c r="D44" s="275" t="s">
        <v>395</v>
      </c>
      <c r="E44" s="276" t="s">
        <v>337</v>
      </c>
      <c r="F44" s="276">
        <v>60800</v>
      </c>
      <c r="G44" s="275" t="s">
        <v>326</v>
      </c>
      <c r="H44" s="277" t="s">
        <v>396</v>
      </c>
      <c r="I44" s="278" t="s">
        <v>397</v>
      </c>
      <c r="J44" s="279">
        <v>29000000</v>
      </c>
      <c r="K44" s="280">
        <v>19457475.600000001</v>
      </c>
      <c r="L44" s="280">
        <v>9542524.4000000004</v>
      </c>
      <c r="M44" s="280">
        <v>0</v>
      </c>
      <c r="N44" s="280">
        <v>0</v>
      </c>
      <c r="O44" s="280">
        <v>0</v>
      </c>
      <c r="P44" s="281">
        <v>0</v>
      </c>
      <c r="Q44" s="281"/>
      <c r="R44" s="281">
        <v>0</v>
      </c>
      <c r="S44" s="282"/>
      <c r="T44" s="282"/>
      <c r="U44" s="282"/>
      <c r="V44" s="282"/>
      <c r="W44" s="281">
        <v>11854703.949999999</v>
      </c>
      <c r="X44" s="281">
        <v>0</v>
      </c>
      <c r="Y44" s="281"/>
      <c r="Z44" s="281"/>
      <c r="AA44" s="281">
        <v>0</v>
      </c>
      <c r="AB44" s="281"/>
      <c r="AC44" s="281"/>
      <c r="AD44" s="281"/>
      <c r="AE44" s="281"/>
      <c r="AF44" s="281"/>
      <c r="AG44" s="281"/>
      <c r="AH44" s="281"/>
      <c r="AI44" s="281"/>
      <c r="AJ44" s="281"/>
      <c r="AK44" s="281"/>
      <c r="AL44" s="281"/>
      <c r="AM44" s="281"/>
      <c r="AN44" s="281"/>
      <c r="AO44" s="282"/>
      <c r="AP44" s="282"/>
      <c r="AQ44" s="283">
        <v>7602771.6500000004</v>
      </c>
      <c r="AR44" s="282"/>
      <c r="AS44" s="282"/>
      <c r="AT44" s="282"/>
      <c r="AU44" s="282"/>
      <c r="AV44" s="282"/>
      <c r="AW44" s="281">
        <v>0</v>
      </c>
      <c r="AX44" s="281"/>
      <c r="AY44" s="281"/>
      <c r="AZ44" s="281">
        <v>0</v>
      </c>
      <c r="BA44" s="281"/>
    </row>
    <row r="45" spans="1:53" ht="324" hidden="1" customHeight="1" x14ac:dyDescent="0.2">
      <c r="A45" s="284" t="s">
        <v>398</v>
      </c>
      <c r="B45" s="285" t="s">
        <v>330</v>
      </c>
      <c r="C45" s="274" t="e">
        <f>J45-#REF!</f>
        <v>#REF!</v>
      </c>
      <c r="D45" s="286" t="s">
        <v>399</v>
      </c>
      <c r="E45" s="287" t="s">
        <v>400</v>
      </c>
      <c r="F45" s="288"/>
      <c r="G45" s="289" t="s">
        <v>326</v>
      </c>
      <c r="H45" s="290" t="s">
        <v>396</v>
      </c>
      <c r="I45" s="291" t="s">
        <v>401</v>
      </c>
      <c r="J45" s="292">
        <v>1500000</v>
      </c>
      <c r="K45" s="293">
        <v>635705.16</v>
      </c>
      <c r="L45" s="142">
        <v>422985.97</v>
      </c>
      <c r="M45" s="139">
        <v>441308.88</v>
      </c>
      <c r="N45" s="139"/>
      <c r="O45" s="143">
        <v>0</v>
      </c>
      <c r="P45" s="294">
        <v>1425000</v>
      </c>
      <c r="Q45" s="294"/>
      <c r="R45" s="294">
        <v>0</v>
      </c>
      <c r="S45" s="295"/>
      <c r="T45" s="296"/>
      <c r="U45" s="297"/>
      <c r="V45" s="297"/>
      <c r="W45" s="294">
        <v>0</v>
      </c>
      <c r="X45" s="294">
        <v>0</v>
      </c>
      <c r="Y45" s="294"/>
      <c r="Z45" s="294"/>
      <c r="AA45" s="294">
        <v>0</v>
      </c>
      <c r="AB45" s="298"/>
      <c r="AC45" s="298"/>
      <c r="AD45" s="298"/>
      <c r="AE45" s="298"/>
      <c r="AF45" s="298"/>
      <c r="AG45" s="298"/>
      <c r="AH45" s="298"/>
      <c r="AI45" s="298"/>
      <c r="AJ45" s="298"/>
      <c r="AK45" s="298"/>
      <c r="AL45" s="298"/>
      <c r="AM45" s="298"/>
      <c r="AN45" s="298"/>
      <c r="AO45" s="295"/>
      <c r="AP45" s="295"/>
      <c r="AQ45" s="295"/>
      <c r="AR45" s="295"/>
      <c r="AS45" s="295"/>
      <c r="AT45" s="295"/>
      <c r="AU45" s="295"/>
      <c r="AV45" s="296"/>
      <c r="AW45" s="299">
        <v>0</v>
      </c>
      <c r="AX45" s="294"/>
      <c r="AY45" s="300"/>
      <c r="AZ45" s="299">
        <v>0</v>
      </c>
      <c r="BA45" s="299"/>
    </row>
    <row r="46" spans="1:53" s="95" customFormat="1" ht="46.5" hidden="1" customHeight="1" x14ac:dyDescent="0.2">
      <c r="A46" s="301"/>
      <c r="B46" s="302" t="s">
        <v>330</v>
      </c>
      <c r="C46" s="147" t="e">
        <f>J46-#REF!</f>
        <v>#REF!</v>
      </c>
      <c r="D46" s="303" t="s">
        <v>367</v>
      </c>
      <c r="E46" s="304"/>
      <c r="F46" s="305"/>
      <c r="G46" s="306" t="s">
        <v>326</v>
      </c>
      <c r="H46" s="307" t="s">
        <v>402</v>
      </c>
      <c r="I46" s="169" t="s">
        <v>403</v>
      </c>
      <c r="J46" s="170">
        <v>2865299</v>
      </c>
      <c r="K46" s="164"/>
      <c r="L46" s="231">
        <v>837299</v>
      </c>
      <c r="M46" s="87">
        <v>1014000</v>
      </c>
      <c r="N46" s="87">
        <v>1014000</v>
      </c>
      <c r="O46" s="88">
        <v>0</v>
      </c>
      <c r="P46" s="308">
        <v>0</v>
      </c>
      <c r="Q46" s="308"/>
      <c r="R46" s="308">
        <v>0</v>
      </c>
      <c r="S46" s="309"/>
      <c r="T46" s="310"/>
      <c r="U46" s="311"/>
      <c r="V46" s="311"/>
      <c r="W46" s="308">
        <v>0</v>
      </c>
      <c r="X46" s="308">
        <v>0</v>
      </c>
      <c r="Y46" s="308"/>
      <c r="Z46" s="308"/>
      <c r="AA46" s="308">
        <v>0</v>
      </c>
      <c r="AB46" s="312"/>
      <c r="AC46" s="312"/>
      <c r="AD46" s="312"/>
      <c r="AE46" s="312"/>
      <c r="AF46" s="312"/>
      <c r="AG46" s="312"/>
      <c r="AH46" s="312"/>
      <c r="AI46" s="312"/>
      <c r="AJ46" s="312"/>
      <c r="AK46" s="312"/>
      <c r="AL46" s="312"/>
      <c r="AM46" s="312"/>
      <c r="AN46" s="312"/>
      <c r="AO46" s="309"/>
      <c r="AP46" s="309"/>
      <c r="AQ46" s="309"/>
      <c r="AR46" s="309"/>
      <c r="AS46" s="309"/>
      <c r="AT46" s="309"/>
      <c r="AU46" s="309"/>
      <c r="AV46" s="310"/>
      <c r="AW46" s="313">
        <v>0</v>
      </c>
      <c r="AX46" s="308"/>
      <c r="AY46" s="314"/>
      <c r="AZ46" s="313">
        <v>0</v>
      </c>
      <c r="BA46" s="313"/>
    </row>
    <row r="47" spans="1:53" s="95" customFormat="1" ht="46.5" hidden="1" customHeight="1" x14ac:dyDescent="0.2">
      <c r="A47" s="301"/>
      <c r="B47" s="302" t="s">
        <v>330</v>
      </c>
      <c r="C47" s="147" t="e">
        <f>J47-#REF!</f>
        <v>#REF!</v>
      </c>
      <c r="D47" s="303" t="s">
        <v>373</v>
      </c>
      <c r="E47" s="304"/>
      <c r="F47" s="305"/>
      <c r="G47" s="306" t="s">
        <v>404</v>
      </c>
      <c r="H47" s="307" t="s">
        <v>402</v>
      </c>
      <c r="I47" s="169" t="s">
        <v>405</v>
      </c>
      <c r="J47" s="170">
        <v>900000</v>
      </c>
      <c r="K47" s="164">
        <v>164843.76</v>
      </c>
      <c r="L47" s="231">
        <v>135156.24</v>
      </c>
      <c r="M47" s="87">
        <v>300000</v>
      </c>
      <c r="N47" s="87">
        <v>300000</v>
      </c>
      <c r="O47" s="88">
        <v>0</v>
      </c>
      <c r="P47" s="308">
        <v>0</v>
      </c>
      <c r="Q47" s="308"/>
      <c r="R47" s="308">
        <v>0</v>
      </c>
      <c r="S47" s="309"/>
      <c r="T47" s="310"/>
      <c r="U47" s="311"/>
      <c r="V47" s="311"/>
      <c r="W47" s="308">
        <v>0</v>
      </c>
      <c r="X47" s="308">
        <v>0</v>
      </c>
      <c r="Y47" s="308"/>
      <c r="Z47" s="308"/>
      <c r="AA47" s="308">
        <v>157349.45000000001</v>
      </c>
      <c r="AB47" s="312"/>
      <c r="AC47" s="312"/>
      <c r="AD47" s="312"/>
      <c r="AE47" s="312"/>
      <c r="AF47" s="312"/>
      <c r="AG47" s="312"/>
      <c r="AH47" s="312"/>
      <c r="AI47" s="312"/>
      <c r="AJ47" s="312"/>
      <c r="AK47" s="312"/>
      <c r="AL47" s="312"/>
      <c r="AM47" s="312"/>
      <c r="AN47" s="312"/>
      <c r="AO47" s="309"/>
      <c r="AP47" s="309"/>
      <c r="AQ47" s="309"/>
      <c r="AR47" s="309"/>
      <c r="AS47" s="309"/>
      <c r="AT47" s="309"/>
      <c r="AU47" s="309"/>
      <c r="AV47" s="310"/>
      <c r="AW47" s="313">
        <v>0</v>
      </c>
      <c r="AX47" s="308"/>
      <c r="AY47" s="314"/>
      <c r="AZ47" s="313">
        <v>0</v>
      </c>
      <c r="BA47" s="313"/>
    </row>
    <row r="48" spans="1:53" s="95" customFormat="1" ht="46.5" hidden="1" customHeight="1" x14ac:dyDescent="0.2">
      <c r="A48" s="301" t="s">
        <v>406</v>
      </c>
      <c r="B48" s="302" t="s">
        <v>330</v>
      </c>
      <c r="C48" s="147" t="e">
        <f>J48-#REF!</f>
        <v>#REF!</v>
      </c>
      <c r="D48" s="303" t="s">
        <v>375</v>
      </c>
      <c r="E48" s="304"/>
      <c r="F48" s="305"/>
      <c r="G48" s="306" t="s">
        <v>326</v>
      </c>
      <c r="H48" s="307" t="s">
        <v>402</v>
      </c>
      <c r="I48" s="169" t="s">
        <v>407</v>
      </c>
      <c r="J48" s="170">
        <v>300000</v>
      </c>
      <c r="K48" s="164"/>
      <c r="L48" s="231">
        <v>300000</v>
      </c>
      <c r="M48" s="87">
        <v>0</v>
      </c>
      <c r="N48" s="87">
        <v>0</v>
      </c>
      <c r="O48" s="88">
        <v>0</v>
      </c>
      <c r="P48" s="308">
        <v>0</v>
      </c>
      <c r="Q48" s="308"/>
      <c r="R48" s="308">
        <v>0</v>
      </c>
      <c r="S48" s="309"/>
      <c r="T48" s="310"/>
      <c r="U48" s="311"/>
      <c r="V48" s="311"/>
      <c r="W48" s="308">
        <v>0</v>
      </c>
      <c r="X48" s="308">
        <v>0</v>
      </c>
      <c r="Y48" s="308"/>
      <c r="Z48" s="308"/>
      <c r="AA48" s="308">
        <v>0</v>
      </c>
      <c r="AB48" s="312"/>
      <c r="AC48" s="312"/>
      <c r="AD48" s="312"/>
      <c r="AE48" s="312"/>
      <c r="AF48" s="312"/>
      <c r="AG48" s="312"/>
      <c r="AH48" s="312"/>
      <c r="AI48" s="312"/>
      <c r="AJ48" s="312"/>
      <c r="AK48" s="312"/>
      <c r="AL48" s="312"/>
      <c r="AM48" s="312"/>
      <c r="AN48" s="312"/>
      <c r="AO48" s="309"/>
      <c r="AP48" s="309"/>
      <c r="AQ48" s="309"/>
      <c r="AR48" s="309"/>
      <c r="AS48" s="309"/>
      <c r="AT48" s="309"/>
      <c r="AU48" s="309"/>
      <c r="AV48" s="310"/>
      <c r="AW48" s="313">
        <v>0</v>
      </c>
      <c r="AX48" s="308"/>
      <c r="AY48" s="314"/>
      <c r="AZ48" s="313">
        <v>0</v>
      </c>
      <c r="BA48" s="313"/>
    </row>
    <row r="49" spans="1:53" s="95" customFormat="1" ht="27" hidden="1" customHeight="1" x14ac:dyDescent="0.2">
      <c r="A49" s="301"/>
      <c r="B49" s="302" t="s">
        <v>330</v>
      </c>
      <c r="C49" s="147" t="e">
        <f>J49-#REF!</f>
        <v>#REF!</v>
      </c>
      <c r="D49" s="303" t="s">
        <v>369</v>
      </c>
      <c r="E49" s="304"/>
      <c r="F49" s="305"/>
      <c r="G49" s="306" t="s">
        <v>404</v>
      </c>
      <c r="H49" s="307" t="s">
        <v>408</v>
      </c>
      <c r="I49" s="169" t="s">
        <v>409</v>
      </c>
      <c r="J49" s="170">
        <v>1200000</v>
      </c>
      <c r="K49" s="164"/>
      <c r="L49" s="231">
        <v>400000</v>
      </c>
      <c r="M49" s="87">
        <v>400000</v>
      </c>
      <c r="N49" s="87">
        <v>400000</v>
      </c>
      <c r="O49" s="88">
        <v>0</v>
      </c>
      <c r="P49" s="308">
        <v>0</v>
      </c>
      <c r="Q49" s="308"/>
      <c r="R49" s="308">
        <v>0</v>
      </c>
      <c r="S49" s="309"/>
      <c r="T49" s="310"/>
      <c r="U49" s="311"/>
      <c r="V49" s="311"/>
      <c r="W49" s="308">
        <v>0</v>
      </c>
      <c r="X49" s="308">
        <v>0</v>
      </c>
      <c r="Y49" s="308"/>
      <c r="Z49" s="308"/>
      <c r="AA49" s="308">
        <v>0</v>
      </c>
      <c r="AB49" s="312"/>
      <c r="AC49" s="312"/>
      <c r="AD49" s="312"/>
      <c r="AE49" s="312"/>
      <c r="AF49" s="312"/>
      <c r="AG49" s="312"/>
      <c r="AH49" s="312"/>
      <c r="AI49" s="312"/>
      <c r="AJ49" s="312"/>
      <c r="AK49" s="312"/>
      <c r="AL49" s="312"/>
      <c r="AM49" s="312"/>
      <c r="AN49" s="312"/>
      <c r="AO49" s="309"/>
      <c r="AP49" s="309"/>
      <c r="AQ49" s="309"/>
      <c r="AR49" s="309"/>
      <c r="AS49" s="309"/>
      <c r="AT49" s="309"/>
      <c r="AU49" s="309"/>
      <c r="AV49" s="310"/>
      <c r="AW49" s="313">
        <v>0</v>
      </c>
      <c r="AX49" s="308"/>
      <c r="AY49" s="314"/>
      <c r="AZ49" s="313">
        <v>0</v>
      </c>
      <c r="BA49" s="313"/>
    </row>
    <row r="50" spans="1:53" s="95" customFormat="1" ht="27" hidden="1" customHeight="1" x14ac:dyDescent="0.2">
      <c r="A50" s="301"/>
      <c r="B50" s="302" t="s">
        <v>330</v>
      </c>
      <c r="C50" s="147" t="e">
        <f>J50-#REF!</f>
        <v>#REF!</v>
      </c>
      <c r="D50" s="303" t="s">
        <v>410</v>
      </c>
      <c r="E50" s="304">
        <v>1695</v>
      </c>
      <c r="F50" s="305"/>
      <c r="G50" s="306" t="s">
        <v>404</v>
      </c>
      <c r="H50" s="307" t="s">
        <v>408</v>
      </c>
      <c r="I50" s="169" t="s">
        <v>411</v>
      </c>
      <c r="J50" s="170">
        <v>800000</v>
      </c>
      <c r="K50" s="164">
        <v>39221.21</v>
      </c>
      <c r="L50" s="231">
        <v>360778.79</v>
      </c>
      <c r="M50" s="87">
        <v>200000</v>
      </c>
      <c r="N50" s="87">
        <v>200000</v>
      </c>
      <c r="O50" s="88">
        <v>0</v>
      </c>
      <c r="P50" s="308">
        <v>0</v>
      </c>
      <c r="Q50" s="308"/>
      <c r="R50" s="308">
        <v>0</v>
      </c>
      <c r="S50" s="309"/>
      <c r="T50" s="310"/>
      <c r="U50" s="311"/>
      <c r="V50" s="311"/>
      <c r="W50" s="308">
        <v>0</v>
      </c>
      <c r="X50" s="308">
        <v>0</v>
      </c>
      <c r="Y50" s="308"/>
      <c r="Z50" s="308"/>
      <c r="AA50" s="308">
        <v>44915.91</v>
      </c>
      <c r="AB50" s="312"/>
      <c r="AC50" s="312"/>
      <c r="AD50" s="312"/>
      <c r="AE50" s="312"/>
      <c r="AF50" s="312"/>
      <c r="AG50" s="312"/>
      <c r="AH50" s="312"/>
      <c r="AI50" s="312"/>
      <c r="AJ50" s="312"/>
      <c r="AK50" s="312"/>
      <c r="AL50" s="312"/>
      <c r="AM50" s="312"/>
      <c r="AN50" s="312"/>
      <c r="AO50" s="309"/>
      <c r="AP50" s="309"/>
      <c r="AQ50" s="309"/>
      <c r="AR50" s="309"/>
      <c r="AS50" s="309"/>
      <c r="AT50" s="309"/>
      <c r="AU50" s="309"/>
      <c r="AV50" s="310"/>
      <c r="AW50" s="313">
        <v>0</v>
      </c>
      <c r="AX50" s="308"/>
      <c r="AY50" s="314"/>
      <c r="AZ50" s="313">
        <v>0</v>
      </c>
      <c r="BA50" s="313"/>
    </row>
    <row r="51" spans="1:53" s="95" customFormat="1" ht="69.75" hidden="1" customHeight="1" x14ac:dyDescent="0.2">
      <c r="A51" s="301" t="s">
        <v>335</v>
      </c>
      <c r="B51" s="302" t="s">
        <v>330</v>
      </c>
      <c r="C51" s="147" t="e">
        <f>J51-#REF!</f>
        <v>#REF!</v>
      </c>
      <c r="D51" s="303" t="s">
        <v>412</v>
      </c>
      <c r="E51" s="304" t="s">
        <v>337</v>
      </c>
      <c r="F51" s="305">
        <v>60800</v>
      </c>
      <c r="G51" s="306" t="s">
        <v>413</v>
      </c>
      <c r="H51" s="307" t="s">
        <v>414</v>
      </c>
      <c r="I51" s="315" t="s">
        <v>415</v>
      </c>
      <c r="J51" s="170">
        <v>3900000</v>
      </c>
      <c r="K51" s="164">
        <v>1025853.11</v>
      </c>
      <c r="L51" s="231">
        <v>2874146.89</v>
      </c>
      <c r="M51" s="87">
        <v>0</v>
      </c>
      <c r="N51" s="87">
        <v>0</v>
      </c>
      <c r="O51" s="88">
        <v>0</v>
      </c>
      <c r="P51" s="308">
        <v>0</v>
      </c>
      <c r="Q51" s="308"/>
      <c r="R51" s="308">
        <v>0</v>
      </c>
      <c r="S51" s="309"/>
      <c r="T51" s="310"/>
      <c r="U51" s="311"/>
      <c r="V51" s="311"/>
      <c r="W51" s="308">
        <v>1025853.11</v>
      </c>
      <c r="X51" s="308">
        <v>0</v>
      </c>
      <c r="Y51" s="308"/>
      <c r="Z51" s="308"/>
      <c r="AA51" s="308">
        <v>0</v>
      </c>
      <c r="AB51" s="312"/>
      <c r="AC51" s="312"/>
      <c r="AD51" s="312"/>
      <c r="AE51" s="312"/>
      <c r="AF51" s="312"/>
      <c r="AG51" s="312"/>
      <c r="AH51" s="312"/>
      <c r="AI51" s="312"/>
      <c r="AJ51" s="312"/>
      <c r="AK51" s="312"/>
      <c r="AL51" s="312"/>
      <c r="AM51" s="312"/>
      <c r="AN51" s="312"/>
      <c r="AO51" s="309"/>
      <c r="AP51" s="309"/>
      <c r="AQ51" s="309"/>
      <c r="AR51" s="309"/>
      <c r="AS51" s="309"/>
      <c r="AT51" s="309"/>
      <c r="AU51" s="309"/>
      <c r="AV51" s="310"/>
      <c r="AW51" s="313">
        <v>0</v>
      </c>
      <c r="AX51" s="308"/>
      <c r="AY51" s="314"/>
      <c r="AZ51" s="313">
        <v>0</v>
      </c>
      <c r="BA51" s="313"/>
    </row>
    <row r="52" spans="1:53" s="95" customFormat="1" ht="27" hidden="1" customHeight="1" x14ac:dyDescent="0.2">
      <c r="A52" s="301"/>
      <c r="B52" s="302" t="s">
        <v>330</v>
      </c>
      <c r="C52" s="147" t="e">
        <f>J52-#REF!</f>
        <v>#REF!</v>
      </c>
      <c r="D52" s="303" t="s">
        <v>379</v>
      </c>
      <c r="E52" s="304"/>
      <c r="F52" s="305"/>
      <c r="G52" s="306" t="s">
        <v>413</v>
      </c>
      <c r="H52" s="307" t="s">
        <v>416</v>
      </c>
      <c r="I52" s="169" t="s">
        <v>33</v>
      </c>
      <c r="J52" s="170">
        <v>5700000</v>
      </c>
      <c r="K52" s="164"/>
      <c r="L52" s="231">
        <v>2000000</v>
      </c>
      <c r="M52" s="87">
        <v>1900000</v>
      </c>
      <c r="N52" s="87">
        <v>1800000</v>
      </c>
      <c r="O52" s="88">
        <v>0</v>
      </c>
      <c r="P52" s="308">
        <v>0</v>
      </c>
      <c r="Q52" s="308"/>
      <c r="R52" s="308">
        <v>0</v>
      </c>
      <c r="S52" s="309"/>
      <c r="T52" s="310"/>
      <c r="U52" s="311"/>
      <c r="V52" s="311"/>
      <c r="W52" s="308">
        <v>0</v>
      </c>
      <c r="X52" s="308">
        <v>0</v>
      </c>
      <c r="Y52" s="308"/>
      <c r="Z52" s="308"/>
      <c r="AA52" s="308">
        <v>0</v>
      </c>
      <c r="AB52" s="312"/>
      <c r="AC52" s="312"/>
      <c r="AD52" s="312"/>
      <c r="AE52" s="312"/>
      <c r="AF52" s="312"/>
      <c r="AG52" s="312"/>
      <c r="AH52" s="312"/>
      <c r="AI52" s="312"/>
      <c r="AJ52" s="312"/>
      <c r="AK52" s="312"/>
      <c r="AL52" s="312"/>
      <c r="AM52" s="312"/>
      <c r="AN52" s="312"/>
      <c r="AO52" s="316"/>
      <c r="AP52" s="309"/>
      <c r="AQ52" s="309"/>
      <c r="AR52" s="309"/>
      <c r="AS52" s="316">
        <v>3000000</v>
      </c>
      <c r="AT52" s="309"/>
      <c r="AU52" s="309"/>
      <c r="AV52" s="310"/>
      <c r="AW52" s="313">
        <v>0</v>
      </c>
      <c r="AX52" s="308"/>
      <c r="AY52" s="314"/>
      <c r="AZ52" s="313">
        <v>0</v>
      </c>
      <c r="BA52" s="313"/>
    </row>
    <row r="53" spans="1:53" ht="27" hidden="1" customHeight="1" x14ac:dyDescent="0.2">
      <c r="A53" s="105"/>
      <c r="B53" s="53"/>
      <c r="C53" s="53"/>
      <c r="D53" s="190"/>
      <c r="E53" s="105"/>
      <c r="F53" s="105"/>
      <c r="G53" s="105"/>
      <c r="H53" s="105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</row>
    <row r="54" spans="1:53" ht="27" hidden="1" customHeight="1" x14ac:dyDescent="0.2">
      <c r="A54" s="105"/>
      <c r="B54" s="53"/>
      <c r="C54" s="53"/>
      <c r="D54" s="190"/>
      <c r="E54" s="105"/>
      <c r="F54" s="105"/>
      <c r="G54" s="105"/>
      <c r="H54" s="105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</row>
    <row r="55" spans="1:53" ht="27" hidden="1" customHeight="1" x14ac:dyDescent="0.2">
      <c r="A55" s="105"/>
      <c r="B55" s="53"/>
      <c r="C55" s="53"/>
      <c r="D55" s="190"/>
      <c r="E55" s="105"/>
      <c r="F55" s="105"/>
      <c r="G55" s="105"/>
      <c r="H55" s="105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</row>
    <row r="56" spans="1:53" ht="27" hidden="1" customHeight="1" x14ac:dyDescent="0.2">
      <c r="A56" s="105"/>
      <c r="B56" s="53"/>
      <c r="C56" s="53"/>
      <c r="D56" s="190"/>
      <c r="E56" s="105"/>
      <c r="F56" s="105"/>
      <c r="G56" s="105"/>
      <c r="H56" s="105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</row>
    <row r="57" spans="1:53" ht="27" hidden="1" customHeight="1" x14ac:dyDescent="0.2">
      <c r="A57" s="105"/>
      <c r="B57" s="53"/>
      <c r="C57" s="53"/>
      <c r="D57" s="190"/>
      <c r="E57" s="105"/>
      <c r="F57" s="105"/>
      <c r="G57" s="105"/>
      <c r="H57" s="105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3"/>
    </row>
    <row r="58" spans="1:53" ht="27" hidden="1" customHeight="1" x14ac:dyDescent="0.2">
      <c r="A58" s="105"/>
      <c r="B58" s="53"/>
      <c r="C58" s="53"/>
      <c r="D58" s="190"/>
      <c r="E58" s="105"/>
      <c r="F58" s="105"/>
      <c r="G58" s="105"/>
      <c r="H58" s="105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</row>
    <row r="59" spans="1:53" ht="27" hidden="1" customHeight="1" x14ac:dyDescent="0.2">
      <c r="A59" s="105"/>
      <c r="B59" s="53"/>
      <c r="C59" s="53"/>
      <c r="D59" s="190"/>
      <c r="E59" s="105"/>
      <c r="F59" s="105"/>
      <c r="G59" s="105"/>
      <c r="H59" s="105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</row>
  </sheetData>
  <sheetProtection selectLockedCells="1" selectUnlockedCells="1"/>
  <mergeCells count="20">
    <mergeCell ref="C6:C8"/>
    <mergeCell ref="A9:A11"/>
    <mergeCell ref="B9:B11"/>
    <mergeCell ref="D9:D11"/>
    <mergeCell ref="E9:E11"/>
    <mergeCell ref="D13:D14"/>
    <mergeCell ref="D15:D16"/>
    <mergeCell ref="BA9:BA11"/>
    <mergeCell ref="U9:Y10"/>
    <mergeCell ref="AI9:AT10"/>
    <mergeCell ref="AW9:AW11"/>
    <mergeCell ref="AZ9:AZ11"/>
    <mergeCell ref="AT11:AV11"/>
    <mergeCell ref="G9:G11"/>
    <mergeCell ref="I9:I11"/>
    <mergeCell ref="J9:J11"/>
    <mergeCell ref="K9:K11"/>
    <mergeCell ref="L9:O9"/>
    <mergeCell ref="P9:T10"/>
    <mergeCell ref="F9:F11"/>
  </mergeCells>
  <printOptions horizontalCentered="1"/>
  <pageMargins left="3.937007874015748E-2" right="3.937007874015748E-2" top="0.51181102362204722" bottom="0.35433070866141736" header="0.51181102362204722" footer="0.51181102362204722"/>
  <pageSetup paperSize="8" scale="22" firstPageNumber="0" pageOrder="overThenDown" orientation="landscape" r:id="rId1"/>
  <headerFooter alignWithMargins="0">
    <oddHeader>&amp;RALLEGATO E PRATO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D52"/>
  <sheetViews>
    <sheetView view="pageBreakPreview" zoomScale="50" zoomScaleNormal="40" zoomScaleSheetLayoutView="50" zoomScalePageLayoutView="40" workbookViewId="0">
      <pane xSplit="10" ySplit="9" topLeftCell="AN49" activePane="bottomRight" state="frozen"/>
      <selection activeCell="C26" sqref="C26"/>
      <selection pane="topRight" activeCell="C26" sqref="C26"/>
      <selection pane="bottomLeft" activeCell="C26" sqref="C26"/>
      <selection pane="bottomRight" activeCell="AZ51" sqref="AZ51"/>
    </sheetView>
  </sheetViews>
  <sheetFormatPr defaultRowHeight="15" x14ac:dyDescent="0.25"/>
  <cols>
    <col min="1" max="1" width="9.140625" style="322"/>
    <col min="2" max="3" width="0" style="322" hidden="1" customWidth="1"/>
    <col min="4" max="4" width="9.140625" style="322"/>
    <col min="5" max="8" width="0" style="322" hidden="1" customWidth="1"/>
    <col min="9" max="9" width="41.28515625" style="322" bestFit="1" customWidth="1"/>
    <col min="10" max="11" width="32.7109375" style="322" bestFit="1" customWidth="1"/>
    <col min="12" max="12" width="30.5703125" style="322" bestFit="1" customWidth="1"/>
    <col min="13" max="14" width="28.28515625" style="322" bestFit="1" customWidth="1"/>
    <col min="15" max="15" width="30.5703125" style="322" bestFit="1" customWidth="1"/>
    <col min="16" max="17" width="22.42578125" style="322" customWidth="1"/>
    <col min="18" max="18" width="45.28515625" style="322" bestFit="1" customWidth="1"/>
    <col min="19" max="19" width="46.28515625" style="322" hidden="1" customWidth="1"/>
    <col min="20" max="20" width="22.7109375" style="322" hidden="1" customWidth="1"/>
    <col min="21" max="22" width="21.5703125" style="322" bestFit="1" customWidth="1"/>
    <col min="23" max="23" width="29.5703125" style="322" bestFit="1" customWidth="1"/>
    <col min="24" max="24" width="0" style="322" hidden="1" customWidth="1"/>
    <col min="25" max="25" width="21.28515625" style="322" customWidth="1"/>
    <col min="26" max="26" width="51.42578125" style="322" bestFit="1" customWidth="1"/>
    <col min="27" max="27" width="24.85546875" style="322" hidden="1" customWidth="1"/>
    <col min="28" max="35" width="9.140625" style="322" hidden="1" customWidth="1"/>
    <col min="36" max="36" width="42.7109375" style="322" customWidth="1"/>
    <col min="37" max="37" width="33" style="322" customWidth="1"/>
    <col min="38" max="41" width="29.85546875" style="322" customWidth="1"/>
    <col min="42" max="44" width="0" style="322" hidden="1" customWidth="1"/>
    <col min="45" max="45" width="53.7109375" style="322" bestFit="1" customWidth="1"/>
    <col min="46" max="47" width="0" style="322" hidden="1" customWidth="1"/>
    <col min="48" max="48" width="41.85546875" style="322" customWidth="1"/>
    <col min="49" max="50" width="0" style="322" hidden="1" customWidth="1"/>
    <col min="51" max="51" width="50.140625" style="322" customWidth="1"/>
    <col min="52" max="52" width="42" style="322" bestFit="1" customWidth="1"/>
    <col min="53" max="54" width="0" style="322" hidden="1" customWidth="1"/>
    <col min="55" max="992" width="9.140625" style="322"/>
    <col min="993" max="16384" width="9.140625" style="318"/>
  </cols>
  <sheetData>
    <row r="1" spans="1:991" ht="15.75" customHeight="1" thickBot="1" x14ac:dyDescent="0.3">
      <c r="A1" s="318"/>
      <c r="B1" s="319"/>
      <c r="C1" s="320"/>
      <c r="D1" s="318"/>
      <c r="E1" s="318"/>
      <c r="F1" s="318"/>
      <c r="G1" s="318"/>
      <c r="H1" s="318"/>
      <c r="I1" s="321"/>
      <c r="J1" s="318"/>
      <c r="K1" s="318"/>
      <c r="L1" s="318"/>
      <c r="M1" s="318"/>
      <c r="N1" s="318"/>
      <c r="O1" s="318"/>
      <c r="P1" s="318"/>
      <c r="Q1" s="318"/>
      <c r="R1" s="318"/>
      <c r="S1" s="318"/>
      <c r="T1" s="318"/>
      <c r="U1" s="318"/>
      <c r="V1" s="318"/>
      <c r="W1" s="318"/>
      <c r="X1" s="318"/>
      <c r="Y1" s="318"/>
      <c r="Z1" s="318"/>
      <c r="AA1" s="318"/>
      <c r="AB1" s="318"/>
      <c r="AC1" s="318"/>
      <c r="AD1" s="318"/>
      <c r="AE1" s="318"/>
      <c r="AF1" s="318"/>
      <c r="AG1" s="318"/>
      <c r="AH1" s="318"/>
      <c r="AI1" s="318"/>
      <c r="AJ1" s="318"/>
      <c r="AK1" s="318"/>
      <c r="AL1" s="318"/>
      <c r="AM1" s="318"/>
      <c r="AN1" s="318"/>
      <c r="AO1" s="318"/>
      <c r="AP1" s="318"/>
      <c r="AQ1" s="318"/>
      <c r="AR1" s="318"/>
      <c r="AS1" s="318"/>
      <c r="AT1" s="318"/>
      <c r="AU1" s="318"/>
      <c r="AV1" s="318"/>
      <c r="AW1" s="318"/>
      <c r="AX1" s="318"/>
      <c r="AY1" s="318"/>
      <c r="AZ1" s="318"/>
      <c r="BA1" s="318"/>
      <c r="BB1" s="318"/>
      <c r="BC1" s="318"/>
      <c r="BD1" s="318"/>
      <c r="BE1" s="318"/>
      <c r="BF1" s="318"/>
      <c r="BG1" s="318"/>
      <c r="BH1" s="318"/>
      <c r="BI1" s="318"/>
      <c r="BJ1" s="318"/>
      <c r="BK1" s="318"/>
      <c r="BL1" s="318"/>
      <c r="BM1" s="318"/>
      <c r="BN1" s="318"/>
      <c r="BO1" s="318"/>
      <c r="BP1" s="318"/>
      <c r="BQ1" s="318"/>
      <c r="BR1" s="318"/>
      <c r="BS1" s="318"/>
      <c r="BT1" s="318"/>
      <c r="BU1" s="318"/>
      <c r="BV1" s="318"/>
      <c r="BW1" s="318"/>
      <c r="BX1" s="318"/>
      <c r="BY1" s="318"/>
      <c r="BZ1" s="318"/>
      <c r="CA1" s="318"/>
      <c r="CB1" s="318"/>
      <c r="CC1" s="318"/>
      <c r="CD1" s="318"/>
      <c r="CE1" s="318"/>
      <c r="CF1" s="318"/>
      <c r="CG1" s="318"/>
      <c r="CH1" s="318"/>
      <c r="CI1" s="318"/>
      <c r="CJ1" s="318"/>
      <c r="CK1" s="318"/>
      <c r="CL1" s="318"/>
      <c r="CM1" s="318"/>
      <c r="CN1" s="318"/>
      <c r="CO1" s="318"/>
      <c r="CP1" s="318"/>
      <c r="CQ1" s="318"/>
      <c r="CR1" s="318"/>
      <c r="CS1" s="318"/>
      <c r="CT1" s="318"/>
      <c r="CU1" s="318"/>
      <c r="CV1" s="318"/>
      <c r="CW1" s="318"/>
      <c r="CX1" s="318"/>
      <c r="CY1" s="318"/>
      <c r="CZ1" s="318"/>
      <c r="DA1" s="318"/>
      <c r="DB1" s="318"/>
      <c r="DC1" s="318"/>
      <c r="DD1" s="318"/>
      <c r="DE1" s="318"/>
      <c r="DF1" s="318"/>
      <c r="DG1" s="318"/>
      <c r="DH1" s="318"/>
      <c r="DI1" s="318"/>
      <c r="DJ1" s="318"/>
      <c r="DK1" s="318"/>
      <c r="DL1" s="318"/>
      <c r="DM1" s="318"/>
      <c r="DN1" s="318"/>
      <c r="DO1" s="318"/>
      <c r="DP1" s="318"/>
      <c r="DQ1" s="318"/>
      <c r="DR1" s="318"/>
      <c r="DS1" s="318"/>
      <c r="DT1" s="318"/>
      <c r="DU1" s="318"/>
      <c r="DV1" s="318"/>
      <c r="DW1" s="318"/>
      <c r="DX1" s="318"/>
      <c r="DY1" s="318"/>
      <c r="DZ1" s="318"/>
      <c r="EA1" s="318"/>
      <c r="EB1" s="318"/>
      <c r="EC1" s="318"/>
      <c r="ED1" s="318"/>
      <c r="EE1" s="318"/>
      <c r="EF1" s="318"/>
      <c r="EG1" s="318"/>
      <c r="EH1" s="318"/>
      <c r="EI1" s="318"/>
      <c r="EJ1" s="318"/>
      <c r="EK1" s="318"/>
      <c r="EL1" s="318"/>
      <c r="EM1" s="318"/>
      <c r="EN1" s="318"/>
      <c r="EO1" s="318"/>
      <c r="EP1" s="318"/>
      <c r="EQ1" s="318"/>
      <c r="ER1" s="318"/>
      <c r="ES1" s="318"/>
      <c r="ET1" s="318"/>
      <c r="EU1" s="318"/>
      <c r="EV1" s="318"/>
      <c r="EW1" s="318"/>
      <c r="EX1" s="318"/>
      <c r="EY1" s="318"/>
      <c r="EZ1" s="318"/>
      <c r="FA1" s="318"/>
      <c r="FB1" s="318"/>
      <c r="FC1" s="318"/>
      <c r="FD1" s="318"/>
      <c r="FE1" s="318"/>
      <c r="FF1" s="318"/>
      <c r="FG1" s="318"/>
      <c r="FH1" s="318"/>
      <c r="FI1" s="318"/>
      <c r="FJ1" s="318"/>
      <c r="FK1" s="318"/>
      <c r="FL1" s="318"/>
      <c r="FM1" s="318"/>
      <c r="FN1" s="318"/>
      <c r="FO1" s="318"/>
      <c r="FP1" s="318"/>
      <c r="FQ1" s="318"/>
      <c r="FR1" s="318"/>
      <c r="FS1" s="318"/>
      <c r="FT1" s="318"/>
      <c r="FU1" s="318"/>
      <c r="FV1" s="318"/>
      <c r="FW1" s="318"/>
      <c r="FX1" s="318"/>
      <c r="FY1" s="318"/>
      <c r="FZ1" s="318"/>
      <c r="GA1" s="318"/>
      <c r="GB1" s="318"/>
      <c r="GC1" s="318"/>
      <c r="GD1" s="318"/>
      <c r="GE1" s="318"/>
      <c r="GF1" s="318"/>
      <c r="GG1" s="318"/>
      <c r="GH1" s="318"/>
      <c r="GI1" s="318"/>
      <c r="GJ1" s="318"/>
      <c r="GK1" s="318"/>
      <c r="GL1" s="318"/>
      <c r="GM1" s="318"/>
      <c r="GN1" s="318"/>
      <c r="GO1" s="318"/>
      <c r="GP1" s="318"/>
      <c r="GQ1" s="318"/>
      <c r="GR1" s="318"/>
      <c r="GS1" s="318"/>
      <c r="GT1" s="318"/>
      <c r="GU1" s="318"/>
      <c r="GV1" s="318"/>
      <c r="GW1" s="318"/>
      <c r="GX1" s="318"/>
      <c r="GY1" s="318"/>
      <c r="GZ1" s="318"/>
      <c r="HA1" s="318"/>
      <c r="HB1" s="318"/>
      <c r="HC1" s="318"/>
      <c r="HD1" s="318"/>
      <c r="HE1" s="318"/>
      <c r="HF1" s="318"/>
      <c r="HG1" s="318"/>
      <c r="HH1" s="318"/>
      <c r="HI1" s="318"/>
      <c r="HJ1" s="318"/>
      <c r="HK1" s="318"/>
      <c r="HL1" s="318"/>
      <c r="HM1" s="318"/>
      <c r="HN1" s="318"/>
      <c r="HO1" s="318"/>
      <c r="HP1" s="318"/>
      <c r="HQ1" s="318"/>
      <c r="HR1" s="318"/>
      <c r="HS1" s="318"/>
      <c r="HT1" s="318"/>
      <c r="HU1" s="318"/>
      <c r="HV1" s="318"/>
      <c r="HW1" s="318"/>
      <c r="HX1" s="318"/>
      <c r="HY1" s="318"/>
      <c r="HZ1" s="318"/>
      <c r="IA1" s="318"/>
      <c r="IB1" s="318"/>
      <c r="IC1" s="318"/>
      <c r="ID1" s="318"/>
      <c r="IE1" s="318"/>
      <c r="IF1" s="318"/>
      <c r="IG1" s="318"/>
      <c r="IH1" s="318"/>
      <c r="II1" s="318"/>
      <c r="IJ1" s="318"/>
      <c r="IK1" s="318"/>
      <c r="IL1" s="318"/>
      <c r="IM1" s="318"/>
      <c r="IN1" s="318"/>
      <c r="IO1" s="318"/>
      <c r="IP1" s="318"/>
      <c r="IQ1" s="318"/>
      <c r="IR1" s="318"/>
      <c r="IS1" s="318"/>
      <c r="IT1" s="318"/>
      <c r="IU1" s="318"/>
      <c r="IV1" s="318"/>
      <c r="IW1" s="318"/>
      <c r="IX1" s="318"/>
      <c r="IY1" s="318"/>
      <c r="IZ1" s="318"/>
      <c r="JA1" s="318"/>
      <c r="JB1" s="318"/>
      <c r="JC1" s="318"/>
      <c r="JD1" s="318"/>
      <c r="JE1" s="318"/>
      <c r="JF1" s="318"/>
      <c r="JG1" s="318"/>
      <c r="JH1" s="318"/>
      <c r="JI1" s="318"/>
      <c r="JJ1" s="318"/>
      <c r="JK1" s="318"/>
      <c r="JL1" s="318"/>
      <c r="JM1" s="318"/>
      <c r="JN1" s="318"/>
      <c r="JO1" s="318"/>
      <c r="JP1" s="318"/>
      <c r="JQ1" s="318"/>
      <c r="JR1" s="318"/>
      <c r="JS1" s="318"/>
      <c r="JT1" s="318"/>
      <c r="JU1" s="318"/>
      <c r="JV1" s="318"/>
      <c r="JW1" s="318"/>
      <c r="JX1" s="318"/>
      <c r="JY1" s="318"/>
      <c r="JZ1" s="318"/>
      <c r="KA1" s="318"/>
      <c r="KB1" s="318"/>
      <c r="KC1" s="318"/>
      <c r="KD1" s="318"/>
      <c r="KE1" s="318"/>
      <c r="KF1" s="318"/>
      <c r="KG1" s="318"/>
      <c r="KH1" s="318"/>
      <c r="KI1" s="318"/>
      <c r="KJ1" s="318"/>
      <c r="KK1" s="318"/>
      <c r="KL1" s="318"/>
      <c r="KM1" s="318"/>
      <c r="KN1" s="318"/>
      <c r="KO1" s="318"/>
      <c r="KP1" s="318"/>
      <c r="KQ1" s="318"/>
      <c r="KR1" s="318"/>
      <c r="KS1" s="318"/>
      <c r="KT1" s="318"/>
      <c r="KU1" s="318"/>
      <c r="KV1" s="318"/>
      <c r="KW1" s="318"/>
      <c r="KX1" s="318"/>
      <c r="KY1" s="318"/>
      <c r="KZ1" s="318"/>
      <c r="LA1" s="318"/>
      <c r="LB1" s="318"/>
      <c r="LC1" s="318"/>
      <c r="LD1" s="318"/>
      <c r="LE1" s="318"/>
      <c r="LF1" s="318"/>
      <c r="LG1" s="318"/>
      <c r="LH1" s="318"/>
      <c r="LI1" s="318"/>
      <c r="LJ1" s="318"/>
      <c r="LK1" s="318"/>
      <c r="LL1" s="318"/>
      <c r="LM1" s="318"/>
      <c r="LN1" s="318"/>
      <c r="LO1" s="318"/>
      <c r="LP1" s="318"/>
      <c r="LQ1" s="318"/>
      <c r="LR1" s="318"/>
      <c r="LS1" s="318"/>
      <c r="LT1" s="318"/>
      <c r="LU1" s="318"/>
      <c r="LV1" s="318"/>
      <c r="LW1" s="318"/>
      <c r="LX1" s="318"/>
      <c r="LY1" s="318"/>
      <c r="LZ1" s="318"/>
      <c r="MA1" s="318"/>
      <c r="MB1" s="318"/>
      <c r="MC1" s="318"/>
      <c r="MD1" s="318"/>
      <c r="ME1" s="318"/>
      <c r="MF1" s="318"/>
      <c r="MG1" s="318"/>
      <c r="MH1" s="318"/>
      <c r="MI1" s="318"/>
      <c r="MJ1" s="318"/>
      <c r="MK1" s="318"/>
      <c r="ML1" s="318"/>
      <c r="MM1" s="318"/>
      <c r="MN1" s="318"/>
      <c r="MO1" s="318"/>
      <c r="MP1" s="318"/>
      <c r="MQ1" s="318"/>
      <c r="MR1" s="318"/>
      <c r="MS1" s="318"/>
      <c r="MT1" s="318"/>
      <c r="MU1" s="318"/>
      <c r="MV1" s="318"/>
      <c r="MW1" s="318"/>
      <c r="MX1" s="318"/>
      <c r="MY1" s="318"/>
      <c r="MZ1" s="318"/>
      <c r="NA1" s="318"/>
      <c r="NB1" s="318"/>
      <c r="NC1" s="318"/>
      <c r="ND1" s="318"/>
      <c r="NE1" s="318"/>
      <c r="NF1" s="318"/>
      <c r="NG1" s="318"/>
      <c r="NH1" s="318"/>
      <c r="NI1" s="318"/>
      <c r="NJ1" s="318"/>
      <c r="NK1" s="318"/>
      <c r="NL1" s="318"/>
      <c r="NM1" s="318"/>
      <c r="NN1" s="318"/>
      <c r="NO1" s="318"/>
      <c r="NP1" s="318"/>
      <c r="NQ1" s="318"/>
      <c r="NR1" s="318"/>
      <c r="NS1" s="318"/>
      <c r="NT1" s="318"/>
      <c r="NU1" s="318"/>
      <c r="NV1" s="318"/>
      <c r="NW1" s="318"/>
      <c r="NX1" s="318"/>
      <c r="NY1" s="318"/>
      <c r="NZ1" s="318"/>
      <c r="OA1" s="318"/>
      <c r="OB1" s="318"/>
      <c r="OC1" s="318"/>
      <c r="OD1" s="318"/>
      <c r="OE1" s="318"/>
      <c r="OF1" s="318"/>
      <c r="OG1" s="318"/>
      <c r="OH1" s="318"/>
      <c r="OI1" s="318"/>
      <c r="OJ1" s="318"/>
      <c r="OK1" s="318"/>
      <c r="OL1" s="318"/>
      <c r="OM1" s="318"/>
      <c r="ON1" s="318"/>
      <c r="OO1" s="318"/>
      <c r="OP1" s="318"/>
      <c r="OQ1" s="318"/>
      <c r="OR1" s="318"/>
      <c r="OS1" s="318"/>
      <c r="OT1" s="318"/>
      <c r="OU1" s="318"/>
      <c r="OV1" s="318"/>
      <c r="OW1" s="318"/>
      <c r="OX1" s="318"/>
      <c r="OY1" s="318"/>
      <c r="OZ1" s="318"/>
      <c r="PA1" s="318"/>
      <c r="PB1" s="318"/>
      <c r="PC1" s="318"/>
      <c r="PD1" s="318"/>
      <c r="PE1" s="318"/>
      <c r="PF1" s="318"/>
      <c r="PG1" s="318"/>
      <c r="PH1" s="318"/>
      <c r="PI1" s="318"/>
      <c r="PJ1" s="318"/>
      <c r="PK1" s="318"/>
      <c r="PL1" s="318"/>
      <c r="PM1" s="318"/>
      <c r="PN1" s="318"/>
      <c r="PO1" s="318"/>
      <c r="PP1" s="318"/>
      <c r="PQ1" s="318"/>
      <c r="PR1" s="318"/>
      <c r="PS1" s="318"/>
      <c r="PT1" s="318"/>
      <c r="PU1" s="318"/>
      <c r="PV1" s="318"/>
      <c r="PW1" s="318"/>
      <c r="PX1" s="318"/>
      <c r="PY1" s="318"/>
      <c r="PZ1" s="318"/>
      <c r="QA1" s="318"/>
      <c r="QB1" s="318"/>
      <c r="QC1" s="318"/>
      <c r="QD1" s="318"/>
      <c r="QE1" s="318"/>
      <c r="QF1" s="318"/>
      <c r="QG1" s="318"/>
      <c r="QH1" s="318"/>
      <c r="QI1" s="318"/>
      <c r="QJ1" s="318"/>
      <c r="QK1" s="318"/>
      <c r="QL1" s="318"/>
      <c r="QM1" s="318"/>
      <c r="QN1" s="318"/>
      <c r="QO1" s="318"/>
      <c r="QP1" s="318"/>
      <c r="QQ1" s="318"/>
      <c r="QR1" s="318"/>
      <c r="QS1" s="318"/>
      <c r="QT1" s="318"/>
      <c r="QU1" s="318"/>
      <c r="QV1" s="318"/>
      <c r="QW1" s="318"/>
      <c r="QX1" s="318"/>
      <c r="QY1" s="318"/>
      <c r="QZ1" s="318"/>
      <c r="RA1" s="318"/>
      <c r="RB1" s="318"/>
      <c r="RC1" s="318"/>
      <c r="RD1" s="318"/>
      <c r="RE1" s="318"/>
      <c r="RF1" s="318"/>
      <c r="RG1" s="318"/>
      <c r="RH1" s="318"/>
      <c r="RI1" s="318"/>
      <c r="RJ1" s="318"/>
      <c r="RK1" s="318"/>
      <c r="RL1" s="318"/>
      <c r="RM1" s="318"/>
      <c r="RN1" s="318"/>
      <c r="RO1" s="318"/>
      <c r="RP1" s="318"/>
      <c r="RQ1" s="318"/>
      <c r="RR1" s="318"/>
      <c r="RS1" s="318"/>
      <c r="RT1" s="318"/>
      <c r="RU1" s="318"/>
      <c r="RV1" s="318"/>
      <c r="RW1" s="318"/>
      <c r="RX1" s="318"/>
      <c r="RY1" s="318"/>
      <c r="RZ1" s="318"/>
      <c r="SA1" s="318"/>
      <c r="SB1" s="318"/>
      <c r="SC1" s="318"/>
      <c r="SD1" s="318"/>
      <c r="SE1" s="318"/>
      <c r="SF1" s="318"/>
      <c r="SG1" s="318"/>
      <c r="SH1" s="318"/>
      <c r="SI1" s="318"/>
      <c r="SJ1" s="318"/>
      <c r="SK1" s="318"/>
      <c r="SL1" s="318"/>
      <c r="SM1" s="318"/>
      <c r="SN1" s="318"/>
      <c r="SO1" s="318"/>
      <c r="SP1" s="318"/>
      <c r="SQ1" s="318"/>
      <c r="SR1" s="318"/>
      <c r="SS1" s="318"/>
      <c r="ST1" s="318"/>
      <c r="SU1" s="318"/>
      <c r="SV1" s="318"/>
      <c r="SW1" s="318"/>
      <c r="SX1" s="318"/>
      <c r="SY1" s="318"/>
      <c r="SZ1" s="318"/>
      <c r="TA1" s="318"/>
      <c r="TB1" s="318"/>
      <c r="TC1" s="318"/>
      <c r="TD1" s="318"/>
      <c r="TE1" s="318"/>
      <c r="TF1" s="318"/>
      <c r="TG1" s="318"/>
      <c r="TH1" s="318"/>
      <c r="TI1" s="318"/>
      <c r="TJ1" s="318"/>
      <c r="TK1" s="318"/>
      <c r="TL1" s="318"/>
      <c r="TM1" s="318"/>
      <c r="TN1" s="318"/>
      <c r="TO1" s="318"/>
      <c r="TP1" s="318"/>
      <c r="TQ1" s="318"/>
      <c r="TR1" s="318"/>
      <c r="TS1" s="318"/>
      <c r="TT1" s="318"/>
      <c r="TU1" s="318"/>
      <c r="TV1" s="318"/>
      <c r="TW1" s="318"/>
      <c r="TX1" s="318"/>
      <c r="TY1" s="318"/>
      <c r="TZ1" s="318"/>
      <c r="UA1" s="318"/>
      <c r="UB1" s="318"/>
      <c r="UC1" s="318"/>
      <c r="UD1" s="318"/>
      <c r="UE1" s="318"/>
      <c r="UF1" s="318"/>
      <c r="UG1" s="318"/>
      <c r="UH1" s="318"/>
      <c r="UI1" s="318"/>
      <c r="UJ1" s="318"/>
      <c r="UK1" s="318"/>
      <c r="UL1" s="318"/>
      <c r="UM1" s="318"/>
      <c r="UN1" s="318"/>
      <c r="UO1" s="318"/>
      <c r="UP1" s="318"/>
      <c r="UQ1" s="318"/>
      <c r="UR1" s="318"/>
      <c r="US1" s="318"/>
      <c r="UT1" s="318"/>
      <c r="UU1" s="318"/>
      <c r="UV1" s="318"/>
      <c r="UW1" s="318"/>
      <c r="UX1" s="318"/>
      <c r="UY1" s="318"/>
      <c r="UZ1" s="318"/>
      <c r="VA1" s="318"/>
      <c r="VB1" s="318"/>
      <c r="VC1" s="318"/>
      <c r="VD1" s="318"/>
      <c r="VE1" s="318"/>
      <c r="VF1" s="318"/>
      <c r="VG1" s="318"/>
      <c r="VH1" s="318"/>
      <c r="VI1" s="318"/>
      <c r="VJ1" s="318"/>
      <c r="VK1" s="318"/>
      <c r="VL1" s="318"/>
      <c r="VM1" s="318"/>
      <c r="VN1" s="318"/>
      <c r="VO1" s="318"/>
      <c r="VP1" s="318"/>
      <c r="VQ1" s="318"/>
      <c r="VR1" s="318"/>
      <c r="VS1" s="318"/>
      <c r="VT1" s="318"/>
      <c r="VU1" s="318"/>
      <c r="VV1" s="318"/>
      <c r="VW1" s="318"/>
      <c r="VX1" s="318"/>
      <c r="VY1" s="318"/>
      <c r="VZ1" s="318"/>
      <c r="WA1" s="318"/>
      <c r="WB1" s="318"/>
      <c r="WC1" s="318"/>
      <c r="WD1" s="318"/>
      <c r="WE1" s="318"/>
      <c r="WF1" s="318"/>
      <c r="WG1" s="318"/>
      <c r="WH1" s="318"/>
      <c r="WI1" s="318"/>
      <c r="WJ1" s="318"/>
      <c r="WK1" s="318"/>
      <c r="WL1" s="318"/>
      <c r="WM1" s="318"/>
      <c r="WN1" s="318"/>
      <c r="WO1" s="318"/>
      <c r="WP1" s="318"/>
      <c r="WQ1" s="318"/>
      <c r="WR1" s="318"/>
      <c r="WS1" s="318"/>
      <c r="WT1" s="318"/>
      <c r="WU1" s="318"/>
      <c r="WV1" s="318"/>
      <c r="WW1" s="318"/>
      <c r="WX1" s="318"/>
      <c r="WY1" s="318"/>
      <c r="WZ1" s="318"/>
      <c r="XA1" s="318"/>
      <c r="XB1" s="318"/>
      <c r="XC1" s="318"/>
      <c r="XD1" s="318"/>
      <c r="XE1" s="318"/>
      <c r="XF1" s="318"/>
      <c r="XG1" s="318"/>
      <c r="XH1" s="318"/>
      <c r="XI1" s="318"/>
      <c r="XJ1" s="318"/>
      <c r="XK1" s="318"/>
      <c r="XL1" s="318"/>
      <c r="XM1" s="318"/>
      <c r="XN1" s="318"/>
      <c r="XO1" s="318"/>
      <c r="XP1" s="318"/>
      <c r="XQ1" s="318"/>
      <c r="XR1" s="318"/>
      <c r="XS1" s="318"/>
      <c r="XT1" s="318"/>
      <c r="XU1" s="318"/>
      <c r="XV1" s="318"/>
      <c r="XW1" s="318"/>
      <c r="XX1" s="318"/>
      <c r="XY1" s="318"/>
      <c r="XZ1" s="318"/>
      <c r="YA1" s="318"/>
      <c r="YB1" s="318"/>
      <c r="YC1" s="318"/>
      <c r="YD1" s="318"/>
      <c r="YE1" s="318"/>
      <c r="YF1" s="318"/>
      <c r="YG1" s="318"/>
      <c r="YH1" s="318"/>
      <c r="YI1" s="318"/>
      <c r="YJ1" s="318"/>
      <c r="YK1" s="318"/>
      <c r="YL1" s="318"/>
      <c r="YM1" s="318"/>
      <c r="YN1" s="318"/>
      <c r="YO1" s="318"/>
      <c r="YP1" s="318"/>
      <c r="YQ1" s="318"/>
      <c r="YR1" s="318"/>
      <c r="YS1" s="318"/>
      <c r="YT1" s="318"/>
      <c r="YU1" s="318"/>
      <c r="YV1" s="318"/>
      <c r="YW1" s="318"/>
      <c r="YX1" s="318"/>
      <c r="YY1" s="318"/>
      <c r="YZ1" s="318"/>
      <c r="ZA1" s="318"/>
      <c r="ZB1" s="318"/>
      <c r="ZC1" s="318"/>
      <c r="ZD1" s="318"/>
      <c r="ZE1" s="318"/>
      <c r="ZF1" s="318"/>
      <c r="ZG1" s="318"/>
      <c r="ZH1" s="318"/>
      <c r="ZI1" s="318"/>
      <c r="ZJ1" s="318"/>
      <c r="ZK1" s="318"/>
      <c r="ZL1" s="318"/>
      <c r="ZM1" s="318"/>
      <c r="ZN1" s="318"/>
      <c r="ZO1" s="318"/>
      <c r="ZP1" s="318"/>
      <c r="ZQ1" s="318"/>
      <c r="ZR1" s="318"/>
      <c r="ZS1" s="318"/>
      <c r="ZT1" s="318"/>
      <c r="ZU1" s="318"/>
      <c r="ZV1" s="318"/>
      <c r="ZW1" s="318"/>
      <c r="ZX1" s="318"/>
      <c r="ZY1" s="318"/>
      <c r="ZZ1" s="318"/>
      <c r="AAA1" s="318"/>
      <c r="AAB1" s="318"/>
      <c r="AAC1" s="318"/>
      <c r="AAD1" s="318"/>
      <c r="AAE1" s="318"/>
      <c r="AAF1" s="318"/>
      <c r="AAG1" s="318"/>
      <c r="AAH1" s="318"/>
      <c r="AAI1" s="318"/>
      <c r="AAJ1" s="318"/>
      <c r="AAK1" s="318"/>
      <c r="AAL1" s="318"/>
      <c r="AAM1" s="318"/>
      <c r="AAN1" s="318"/>
      <c r="AAO1" s="318"/>
      <c r="AAP1" s="318"/>
      <c r="AAQ1" s="318"/>
      <c r="AAR1" s="318"/>
      <c r="AAS1" s="318"/>
      <c r="AAT1" s="318"/>
      <c r="AAU1" s="318"/>
      <c r="AAV1" s="318"/>
      <c r="AAW1" s="318"/>
      <c r="AAX1" s="318"/>
      <c r="AAY1" s="318"/>
      <c r="AAZ1" s="318"/>
      <c r="ABA1" s="318"/>
      <c r="ABB1" s="318"/>
      <c r="ABC1" s="318"/>
      <c r="ABD1" s="318"/>
      <c r="ABE1" s="318"/>
      <c r="ABF1" s="318"/>
      <c r="ABG1" s="318"/>
      <c r="ABH1" s="318"/>
      <c r="ABI1" s="318"/>
      <c r="ABJ1" s="318"/>
      <c r="ABK1" s="318"/>
      <c r="ABL1" s="318"/>
      <c r="ABM1" s="318"/>
      <c r="ABN1" s="318"/>
      <c r="ABO1" s="318"/>
      <c r="ABP1" s="318"/>
      <c r="ABQ1" s="318"/>
      <c r="ABR1" s="318"/>
      <c r="ABS1" s="318"/>
      <c r="ABT1" s="318"/>
      <c r="ABU1" s="318"/>
      <c r="ABV1" s="318"/>
      <c r="ABW1" s="318"/>
      <c r="ABX1" s="318"/>
      <c r="ABY1" s="318"/>
      <c r="ABZ1" s="318"/>
      <c r="ACA1" s="318"/>
      <c r="ACB1" s="318"/>
      <c r="ACC1" s="318"/>
      <c r="ACD1" s="318"/>
      <c r="ACE1" s="318"/>
      <c r="ACF1" s="318"/>
      <c r="ACG1" s="318"/>
      <c r="ACH1" s="318"/>
      <c r="ACI1" s="318"/>
      <c r="ACJ1" s="318"/>
      <c r="ACK1" s="318"/>
      <c r="ACL1" s="318"/>
      <c r="ACM1" s="318"/>
      <c r="ACN1" s="318"/>
      <c r="ACO1" s="318"/>
      <c r="ACP1" s="318"/>
      <c r="ACQ1" s="318"/>
      <c r="ACR1" s="318"/>
      <c r="ACS1" s="318"/>
      <c r="ACT1" s="318"/>
      <c r="ACU1" s="318"/>
      <c r="ACV1" s="318"/>
      <c r="ACW1" s="318"/>
      <c r="ACX1" s="318"/>
      <c r="ACY1" s="318"/>
      <c r="ACZ1" s="318"/>
      <c r="ADA1" s="318"/>
      <c r="ADB1" s="318"/>
      <c r="ADC1" s="318"/>
      <c r="ADD1" s="318"/>
      <c r="ADE1" s="318"/>
      <c r="ADF1" s="318"/>
      <c r="ADG1" s="318"/>
      <c r="ADH1" s="318"/>
      <c r="ADI1" s="318"/>
      <c r="ADJ1" s="318"/>
      <c r="ADK1" s="318"/>
      <c r="ADL1" s="318"/>
      <c r="ADM1" s="318"/>
      <c r="ADN1" s="318"/>
      <c r="ADO1" s="318"/>
      <c r="ADP1" s="318"/>
      <c r="ADQ1" s="318"/>
      <c r="ADR1" s="318"/>
      <c r="ADS1" s="318"/>
      <c r="ADT1" s="318"/>
      <c r="ADU1" s="318"/>
      <c r="ADV1" s="318"/>
      <c r="ADW1" s="318"/>
      <c r="ADX1" s="318"/>
      <c r="ADY1" s="318"/>
      <c r="ADZ1" s="318"/>
      <c r="AEA1" s="318"/>
      <c r="AEB1" s="318"/>
      <c r="AEC1" s="318"/>
      <c r="AED1" s="318"/>
      <c r="AEE1" s="318"/>
      <c r="AEF1" s="318"/>
      <c r="AEG1" s="318"/>
      <c r="AEH1" s="318"/>
      <c r="AEI1" s="318"/>
      <c r="AEJ1" s="318"/>
      <c r="AEK1" s="318"/>
      <c r="AEL1" s="318"/>
      <c r="AEM1" s="318"/>
      <c r="AEN1" s="318"/>
      <c r="AEO1" s="318"/>
      <c r="AEP1" s="318"/>
      <c r="AEQ1" s="318"/>
      <c r="AER1" s="318"/>
      <c r="AES1" s="318"/>
      <c r="AET1" s="318"/>
      <c r="AEU1" s="318"/>
      <c r="AEV1" s="318"/>
      <c r="AEW1" s="318"/>
      <c r="AEX1" s="318"/>
      <c r="AEY1" s="318"/>
      <c r="AEZ1" s="318"/>
      <c r="AFA1" s="318"/>
      <c r="AFB1" s="318"/>
      <c r="AFC1" s="318"/>
      <c r="AFD1" s="318"/>
      <c r="AFE1" s="318"/>
      <c r="AFF1" s="318"/>
      <c r="AFG1" s="318"/>
      <c r="AFH1" s="318"/>
      <c r="AFI1" s="318"/>
      <c r="AFJ1" s="318"/>
      <c r="AFK1" s="318"/>
      <c r="AFL1" s="318"/>
      <c r="AFM1" s="318"/>
      <c r="AFN1" s="318"/>
      <c r="AFO1" s="318"/>
      <c r="AFP1" s="318"/>
      <c r="AFQ1" s="318"/>
      <c r="AFR1" s="318"/>
      <c r="AFS1" s="318"/>
      <c r="AFT1" s="318"/>
      <c r="AFU1" s="318"/>
      <c r="AFV1" s="318"/>
      <c r="AFW1" s="318"/>
      <c r="AFX1" s="318"/>
      <c r="AFY1" s="318"/>
      <c r="AFZ1" s="318"/>
      <c r="AGA1" s="318"/>
      <c r="AGB1" s="318"/>
      <c r="AGC1" s="318"/>
      <c r="AGD1" s="318"/>
      <c r="AGE1" s="318"/>
      <c r="AGF1" s="318"/>
      <c r="AGG1" s="318"/>
      <c r="AGH1" s="318"/>
      <c r="AGI1" s="318"/>
      <c r="AGJ1" s="318"/>
      <c r="AGK1" s="318"/>
      <c r="AGL1" s="318"/>
      <c r="AGM1" s="318"/>
      <c r="AGN1" s="318"/>
      <c r="AGO1" s="318"/>
      <c r="AGP1" s="318"/>
      <c r="AGQ1" s="318"/>
      <c r="AGR1" s="318"/>
      <c r="AGS1" s="318"/>
      <c r="AGT1" s="318"/>
      <c r="AGU1" s="318"/>
      <c r="AGV1" s="318"/>
      <c r="AGW1" s="318"/>
      <c r="AGX1" s="318"/>
      <c r="AGY1" s="318"/>
      <c r="AGZ1" s="318"/>
      <c r="AHA1" s="318"/>
      <c r="AHB1" s="318"/>
      <c r="AHC1" s="318"/>
      <c r="AHD1" s="318"/>
      <c r="AHE1" s="318"/>
      <c r="AHF1" s="318"/>
      <c r="AHG1" s="318"/>
      <c r="AHH1" s="318"/>
      <c r="AHI1" s="318"/>
      <c r="AHJ1" s="318"/>
      <c r="AHK1" s="318"/>
      <c r="AHL1" s="318"/>
      <c r="AHM1" s="318"/>
      <c r="AHN1" s="318"/>
      <c r="AHO1" s="318"/>
      <c r="AHP1" s="318"/>
      <c r="AHQ1" s="318"/>
      <c r="AHR1" s="318"/>
      <c r="AHS1" s="318"/>
      <c r="AHT1" s="318"/>
      <c r="AHU1" s="318"/>
      <c r="AHV1" s="318"/>
      <c r="AHW1" s="318"/>
      <c r="AHX1" s="318"/>
      <c r="AHY1" s="318"/>
      <c r="AHZ1" s="318"/>
      <c r="AIA1" s="318"/>
      <c r="AIB1" s="318"/>
      <c r="AIC1" s="318"/>
      <c r="AID1" s="318"/>
      <c r="AIE1" s="318"/>
      <c r="AIF1" s="318"/>
      <c r="AIG1" s="318"/>
      <c r="AIH1" s="318"/>
      <c r="AII1" s="318"/>
      <c r="AIJ1" s="318"/>
      <c r="AIK1" s="318"/>
      <c r="AIL1" s="318"/>
      <c r="AIM1" s="318"/>
      <c r="AIN1" s="318"/>
      <c r="AIO1" s="318"/>
      <c r="AIP1" s="318"/>
      <c r="AIQ1" s="318"/>
      <c r="AIR1" s="318"/>
      <c r="AIS1" s="318"/>
      <c r="AIT1" s="318"/>
      <c r="AIU1" s="318"/>
      <c r="AIV1" s="318"/>
      <c r="AIW1" s="318"/>
      <c r="AIX1" s="318"/>
      <c r="AIY1" s="318"/>
      <c r="AIZ1" s="318"/>
      <c r="AJA1" s="318"/>
      <c r="AJB1" s="318"/>
      <c r="AJC1" s="318"/>
      <c r="AJD1" s="318"/>
      <c r="AJE1" s="318"/>
      <c r="AJF1" s="318"/>
      <c r="AJG1" s="318"/>
      <c r="AJH1" s="318"/>
      <c r="AJI1" s="318"/>
      <c r="AJJ1" s="318"/>
      <c r="AJK1" s="318"/>
      <c r="AJL1" s="318"/>
      <c r="AJM1" s="318"/>
      <c r="AJN1" s="318"/>
      <c r="AJO1" s="318"/>
      <c r="AJP1" s="318"/>
      <c r="AJQ1" s="318"/>
      <c r="AJR1" s="318"/>
      <c r="AJS1" s="318"/>
      <c r="AJT1" s="318"/>
      <c r="AJU1" s="318"/>
      <c r="AJV1" s="318"/>
      <c r="AJW1" s="318"/>
      <c r="AJX1" s="318"/>
      <c r="AJY1" s="318"/>
      <c r="AJZ1" s="318"/>
      <c r="AKA1" s="318"/>
      <c r="AKB1" s="318"/>
      <c r="AKC1" s="318"/>
      <c r="AKD1" s="318"/>
      <c r="AKE1" s="318"/>
      <c r="AKF1" s="318"/>
      <c r="AKG1" s="318"/>
      <c r="AKH1" s="318"/>
      <c r="AKI1" s="318"/>
      <c r="AKJ1" s="318"/>
      <c r="AKK1" s="318"/>
      <c r="AKL1" s="318"/>
      <c r="AKM1" s="318"/>
      <c r="AKN1" s="318"/>
      <c r="AKO1" s="318"/>
      <c r="AKP1" s="318"/>
      <c r="AKQ1" s="318"/>
      <c r="AKR1" s="318"/>
      <c r="AKS1" s="318"/>
      <c r="AKT1" s="318"/>
      <c r="AKU1" s="318"/>
      <c r="AKV1" s="318"/>
      <c r="AKW1" s="318"/>
      <c r="AKX1" s="318"/>
      <c r="AKY1" s="318"/>
      <c r="AKZ1" s="318"/>
      <c r="ALA1" s="318"/>
      <c r="ALB1" s="318"/>
      <c r="ALC1" s="318"/>
    </row>
    <row r="2" spans="1:991" ht="36" thickBot="1" x14ac:dyDescent="0.3">
      <c r="A2" s="318"/>
      <c r="B2" s="319"/>
      <c r="C2" s="323"/>
      <c r="D2" s="318"/>
      <c r="E2" s="324"/>
      <c r="F2" s="325"/>
      <c r="G2" s="325"/>
      <c r="H2" s="325"/>
      <c r="I2" s="326" t="s">
        <v>30</v>
      </c>
      <c r="J2" s="327"/>
      <c r="K2" s="327"/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W2" s="327"/>
      <c r="X2" s="327"/>
      <c r="Y2" s="327"/>
      <c r="Z2" s="327"/>
      <c r="AA2" s="327"/>
      <c r="AB2" s="327"/>
      <c r="AC2" s="327"/>
      <c r="AD2" s="327"/>
      <c r="AE2" s="327"/>
      <c r="AF2" s="327"/>
      <c r="AG2" s="327"/>
      <c r="AH2" s="327"/>
      <c r="AI2" s="327"/>
      <c r="AJ2" s="327"/>
      <c r="AK2" s="327"/>
      <c r="AL2" s="327"/>
      <c r="AM2" s="327"/>
      <c r="AN2" s="327"/>
      <c r="AO2" s="327"/>
      <c r="AP2" s="327"/>
      <c r="AQ2" s="327"/>
      <c r="AR2" s="327"/>
      <c r="AS2" s="327"/>
      <c r="AT2" s="327"/>
      <c r="AU2" s="327"/>
      <c r="AV2" s="327"/>
      <c r="AW2" s="327"/>
      <c r="AX2" s="327"/>
      <c r="AY2" s="327"/>
      <c r="AZ2" s="327"/>
      <c r="BA2" s="327"/>
      <c r="BB2" s="328"/>
      <c r="BC2" s="318"/>
      <c r="BD2" s="318"/>
      <c r="BE2" s="318"/>
      <c r="BF2" s="318"/>
      <c r="BG2" s="318"/>
      <c r="BH2" s="318"/>
      <c r="BI2" s="318"/>
      <c r="BJ2" s="318"/>
      <c r="BK2" s="318"/>
      <c r="BL2" s="318"/>
      <c r="BM2" s="318"/>
      <c r="BN2" s="318"/>
      <c r="BO2" s="318"/>
      <c r="BP2" s="318"/>
      <c r="BQ2" s="318"/>
      <c r="BR2" s="318"/>
      <c r="BS2" s="318"/>
      <c r="BT2" s="318"/>
      <c r="BU2" s="318"/>
      <c r="BV2" s="318"/>
      <c r="BW2" s="318"/>
      <c r="BX2" s="318"/>
      <c r="BY2" s="318"/>
      <c r="BZ2" s="318"/>
      <c r="CA2" s="318"/>
      <c r="CB2" s="318"/>
      <c r="CC2" s="318"/>
      <c r="CD2" s="318"/>
      <c r="CE2" s="318"/>
      <c r="CF2" s="318"/>
      <c r="CG2" s="318"/>
      <c r="CH2" s="318"/>
      <c r="CI2" s="318"/>
      <c r="CJ2" s="318"/>
      <c r="CK2" s="318"/>
      <c r="CL2" s="318"/>
      <c r="CM2" s="318"/>
      <c r="CN2" s="318"/>
      <c r="CO2" s="318"/>
      <c r="CP2" s="318"/>
      <c r="CQ2" s="318"/>
      <c r="CR2" s="318"/>
      <c r="CS2" s="318"/>
      <c r="CT2" s="318"/>
      <c r="CU2" s="318"/>
      <c r="CV2" s="318"/>
      <c r="CW2" s="318"/>
      <c r="CX2" s="318"/>
      <c r="CY2" s="318"/>
      <c r="CZ2" s="318"/>
      <c r="DA2" s="318"/>
      <c r="DB2" s="318"/>
      <c r="DC2" s="318"/>
      <c r="DD2" s="318"/>
      <c r="DE2" s="318"/>
      <c r="DF2" s="318"/>
      <c r="DG2" s="318"/>
      <c r="DH2" s="318"/>
      <c r="DI2" s="318"/>
      <c r="DJ2" s="318"/>
      <c r="DK2" s="318"/>
      <c r="DL2" s="318"/>
      <c r="DM2" s="318"/>
      <c r="DN2" s="318"/>
      <c r="DO2" s="318"/>
      <c r="DP2" s="318"/>
      <c r="DQ2" s="318"/>
      <c r="DR2" s="318"/>
      <c r="DS2" s="318"/>
      <c r="DT2" s="318"/>
      <c r="DU2" s="318"/>
      <c r="DV2" s="318"/>
      <c r="DW2" s="318"/>
      <c r="DX2" s="318"/>
      <c r="DY2" s="318"/>
      <c r="DZ2" s="318"/>
      <c r="EA2" s="318"/>
      <c r="EB2" s="318"/>
      <c r="EC2" s="318"/>
      <c r="ED2" s="318"/>
      <c r="EE2" s="318"/>
      <c r="EF2" s="318"/>
      <c r="EG2" s="318"/>
      <c r="EH2" s="318"/>
      <c r="EI2" s="318"/>
      <c r="EJ2" s="318"/>
      <c r="EK2" s="318"/>
      <c r="EL2" s="318"/>
      <c r="EM2" s="318"/>
      <c r="EN2" s="318"/>
      <c r="EO2" s="318"/>
      <c r="EP2" s="318"/>
      <c r="EQ2" s="318"/>
      <c r="ER2" s="318"/>
      <c r="ES2" s="318"/>
      <c r="ET2" s="318"/>
      <c r="EU2" s="318"/>
      <c r="EV2" s="318"/>
      <c r="EW2" s="318"/>
      <c r="EX2" s="318"/>
      <c r="EY2" s="318"/>
      <c r="EZ2" s="318"/>
      <c r="FA2" s="318"/>
      <c r="FB2" s="318"/>
      <c r="FC2" s="318"/>
      <c r="FD2" s="318"/>
      <c r="FE2" s="318"/>
      <c r="FF2" s="318"/>
      <c r="FG2" s="318"/>
      <c r="FH2" s="318"/>
      <c r="FI2" s="318"/>
      <c r="FJ2" s="318"/>
      <c r="FK2" s="318"/>
      <c r="FL2" s="318"/>
      <c r="FM2" s="318"/>
      <c r="FN2" s="318"/>
      <c r="FO2" s="318"/>
      <c r="FP2" s="318"/>
      <c r="FQ2" s="318"/>
      <c r="FR2" s="318"/>
      <c r="FS2" s="318"/>
      <c r="FT2" s="318"/>
      <c r="FU2" s="318"/>
      <c r="FV2" s="318"/>
      <c r="FW2" s="318"/>
      <c r="FX2" s="318"/>
      <c r="FY2" s="318"/>
      <c r="FZ2" s="318"/>
      <c r="GA2" s="318"/>
      <c r="GB2" s="318"/>
      <c r="GC2" s="318"/>
      <c r="GD2" s="318"/>
      <c r="GE2" s="318"/>
      <c r="GF2" s="318"/>
      <c r="GG2" s="318"/>
      <c r="GH2" s="318"/>
      <c r="GI2" s="318"/>
      <c r="GJ2" s="318"/>
      <c r="GK2" s="318"/>
      <c r="GL2" s="318"/>
      <c r="GM2" s="318"/>
      <c r="GN2" s="318"/>
      <c r="GO2" s="318"/>
      <c r="GP2" s="318"/>
      <c r="GQ2" s="318"/>
      <c r="GR2" s="318"/>
      <c r="GS2" s="318"/>
      <c r="GT2" s="318"/>
      <c r="GU2" s="318"/>
      <c r="GV2" s="318"/>
      <c r="GW2" s="318"/>
      <c r="GX2" s="318"/>
      <c r="GY2" s="318"/>
      <c r="GZ2" s="318"/>
      <c r="HA2" s="318"/>
      <c r="HB2" s="318"/>
      <c r="HC2" s="318"/>
      <c r="HD2" s="318"/>
      <c r="HE2" s="318"/>
      <c r="HF2" s="318"/>
      <c r="HG2" s="318"/>
      <c r="HH2" s="318"/>
      <c r="HI2" s="318"/>
      <c r="HJ2" s="318"/>
      <c r="HK2" s="318"/>
      <c r="HL2" s="318"/>
      <c r="HM2" s="318"/>
      <c r="HN2" s="318"/>
      <c r="HO2" s="318"/>
      <c r="HP2" s="318"/>
      <c r="HQ2" s="318"/>
      <c r="HR2" s="318"/>
      <c r="HS2" s="318"/>
      <c r="HT2" s="318"/>
      <c r="HU2" s="318"/>
      <c r="HV2" s="318"/>
      <c r="HW2" s="318"/>
      <c r="HX2" s="318"/>
      <c r="HY2" s="318"/>
      <c r="HZ2" s="318"/>
      <c r="IA2" s="318"/>
      <c r="IB2" s="318"/>
      <c r="IC2" s="318"/>
      <c r="ID2" s="318"/>
      <c r="IE2" s="318"/>
      <c r="IF2" s="318"/>
      <c r="IG2" s="318"/>
      <c r="IH2" s="318"/>
      <c r="II2" s="318"/>
      <c r="IJ2" s="318"/>
      <c r="IK2" s="318"/>
      <c r="IL2" s="318"/>
      <c r="IM2" s="318"/>
      <c r="IN2" s="318"/>
      <c r="IO2" s="318"/>
      <c r="IP2" s="318"/>
      <c r="IQ2" s="318"/>
      <c r="IR2" s="318"/>
      <c r="IS2" s="318"/>
      <c r="IT2" s="318"/>
      <c r="IU2" s="318"/>
      <c r="IV2" s="318"/>
      <c r="IW2" s="318"/>
      <c r="IX2" s="318"/>
      <c r="IY2" s="318"/>
      <c r="IZ2" s="318"/>
      <c r="JA2" s="318"/>
      <c r="JB2" s="318"/>
      <c r="JC2" s="318"/>
      <c r="JD2" s="318"/>
      <c r="JE2" s="318"/>
      <c r="JF2" s="318"/>
      <c r="JG2" s="318"/>
      <c r="JH2" s="318"/>
      <c r="JI2" s="318"/>
      <c r="JJ2" s="318"/>
      <c r="JK2" s="318"/>
      <c r="JL2" s="318"/>
      <c r="JM2" s="318"/>
      <c r="JN2" s="318"/>
      <c r="JO2" s="318"/>
      <c r="JP2" s="318"/>
      <c r="JQ2" s="318"/>
      <c r="JR2" s="318"/>
      <c r="JS2" s="318"/>
      <c r="JT2" s="318"/>
      <c r="JU2" s="318"/>
      <c r="JV2" s="318"/>
      <c r="JW2" s="318"/>
      <c r="JX2" s="318"/>
      <c r="JY2" s="318"/>
      <c r="JZ2" s="318"/>
      <c r="KA2" s="318"/>
      <c r="KB2" s="318"/>
      <c r="KC2" s="318"/>
      <c r="KD2" s="318"/>
      <c r="KE2" s="318"/>
      <c r="KF2" s="318"/>
      <c r="KG2" s="318"/>
      <c r="KH2" s="318"/>
      <c r="KI2" s="318"/>
      <c r="KJ2" s="318"/>
      <c r="KK2" s="318"/>
      <c r="KL2" s="318"/>
      <c r="KM2" s="318"/>
      <c r="KN2" s="318"/>
      <c r="KO2" s="318"/>
      <c r="KP2" s="318"/>
      <c r="KQ2" s="318"/>
      <c r="KR2" s="318"/>
      <c r="KS2" s="318"/>
      <c r="KT2" s="318"/>
      <c r="KU2" s="318"/>
      <c r="KV2" s="318"/>
      <c r="KW2" s="318"/>
      <c r="KX2" s="318"/>
      <c r="KY2" s="318"/>
      <c r="KZ2" s="318"/>
      <c r="LA2" s="318"/>
      <c r="LB2" s="318"/>
      <c r="LC2" s="318"/>
      <c r="LD2" s="318"/>
      <c r="LE2" s="318"/>
      <c r="LF2" s="318"/>
      <c r="LG2" s="318"/>
      <c r="LH2" s="318"/>
      <c r="LI2" s="318"/>
      <c r="LJ2" s="318"/>
      <c r="LK2" s="318"/>
      <c r="LL2" s="318"/>
      <c r="LM2" s="318"/>
      <c r="LN2" s="318"/>
      <c r="LO2" s="318"/>
      <c r="LP2" s="318"/>
      <c r="LQ2" s="318"/>
      <c r="LR2" s="318"/>
      <c r="LS2" s="318"/>
      <c r="LT2" s="318"/>
      <c r="LU2" s="318"/>
      <c r="LV2" s="318"/>
      <c r="LW2" s="318"/>
      <c r="LX2" s="318"/>
      <c r="LY2" s="318"/>
      <c r="LZ2" s="318"/>
      <c r="MA2" s="318"/>
      <c r="MB2" s="318"/>
      <c r="MC2" s="318"/>
      <c r="MD2" s="318"/>
      <c r="ME2" s="318"/>
      <c r="MF2" s="318"/>
      <c r="MG2" s="318"/>
      <c r="MH2" s="318"/>
      <c r="MI2" s="318"/>
      <c r="MJ2" s="318"/>
      <c r="MK2" s="318"/>
      <c r="ML2" s="318"/>
      <c r="MM2" s="318"/>
      <c r="MN2" s="318"/>
      <c r="MO2" s="318"/>
      <c r="MP2" s="318"/>
      <c r="MQ2" s="318"/>
      <c r="MR2" s="318"/>
      <c r="MS2" s="318"/>
      <c r="MT2" s="318"/>
      <c r="MU2" s="318"/>
      <c r="MV2" s="318"/>
      <c r="MW2" s="318"/>
      <c r="MX2" s="318"/>
      <c r="MY2" s="318"/>
      <c r="MZ2" s="318"/>
      <c r="NA2" s="318"/>
      <c r="NB2" s="318"/>
      <c r="NC2" s="318"/>
      <c r="ND2" s="318"/>
      <c r="NE2" s="318"/>
      <c r="NF2" s="318"/>
      <c r="NG2" s="318"/>
      <c r="NH2" s="318"/>
      <c r="NI2" s="318"/>
      <c r="NJ2" s="318"/>
      <c r="NK2" s="318"/>
      <c r="NL2" s="318"/>
      <c r="NM2" s="318"/>
      <c r="NN2" s="318"/>
      <c r="NO2" s="318"/>
      <c r="NP2" s="318"/>
      <c r="NQ2" s="318"/>
      <c r="NR2" s="318"/>
      <c r="NS2" s="318"/>
      <c r="NT2" s="318"/>
      <c r="NU2" s="318"/>
      <c r="NV2" s="318"/>
      <c r="NW2" s="318"/>
      <c r="NX2" s="318"/>
      <c r="NY2" s="318"/>
      <c r="NZ2" s="318"/>
      <c r="OA2" s="318"/>
      <c r="OB2" s="318"/>
      <c r="OC2" s="318"/>
      <c r="OD2" s="318"/>
      <c r="OE2" s="318"/>
      <c r="OF2" s="318"/>
      <c r="OG2" s="318"/>
      <c r="OH2" s="318"/>
      <c r="OI2" s="318"/>
      <c r="OJ2" s="318"/>
      <c r="OK2" s="318"/>
      <c r="OL2" s="318"/>
      <c r="OM2" s="318"/>
      <c r="ON2" s="318"/>
      <c r="OO2" s="318"/>
      <c r="OP2" s="318"/>
      <c r="OQ2" s="318"/>
      <c r="OR2" s="318"/>
      <c r="OS2" s="318"/>
      <c r="OT2" s="318"/>
      <c r="OU2" s="318"/>
      <c r="OV2" s="318"/>
      <c r="OW2" s="318"/>
      <c r="OX2" s="318"/>
      <c r="OY2" s="318"/>
      <c r="OZ2" s="318"/>
      <c r="PA2" s="318"/>
      <c r="PB2" s="318"/>
      <c r="PC2" s="318"/>
      <c r="PD2" s="318"/>
      <c r="PE2" s="318"/>
      <c r="PF2" s="318"/>
      <c r="PG2" s="318"/>
      <c r="PH2" s="318"/>
      <c r="PI2" s="318"/>
      <c r="PJ2" s="318"/>
      <c r="PK2" s="318"/>
      <c r="PL2" s="318"/>
      <c r="PM2" s="318"/>
      <c r="PN2" s="318"/>
      <c r="PO2" s="318"/>
      <c r="PP2" s="318"/>
      <c r="PQ2" s="318"/>
      <c r="PR2" s="318"/>
      <c r="PS2" s="318"/>
      <c r="PT2" s="318"/>
      <c r="PU2" s="318"/>
      <c r="PV2" s="318"/>
      <c r="PW2" s="318"/>
      <c r="PX2" s="318"/>
      <c r="PY2" s="318"/>
      <c r="PZ2" s="318"/>
      <c r="QA2" s="318"/>
      <c r="QB2" s="318"/>
      <c r="QC2" s="318"/>
      <c r="QD2" s="318"/>
      <c r="QE2" s="318"/>
      <c r="QF2" s="318"/>
      <c r="QG2" s="318"/>
      <c r="QH2" s="318"/>
      <c r="QI2" s="318"/>
      <c r="QJ2" s="318"/>
      <c r="QK2" s="318"/>
      <c r="QL2" s="318"/>
      <c r="QM2" s="318"/>
      <c r="QN2" s="318"/>
      <c r="QO2" s="318"/>
      <c r="QP2" s="318"/>
      <c r="QQ2" s="318"/>
      <c r="QR2" s="318"/>
      <c r="QS2" s="318"/>
      <c r="QT2" s="318"/>
      <c r="QU2" s="318"/>
      <c r="QV2" s="318"/>
      <c r="QW2" s="318"/>
      <c r="QX2" s="318"/>
      <c r="QY2" s="318"/>
      <c r="QZ2" s="318"/>
      <c r="RA2" s="318"/>
      <c r="RB2" s="318"/>
      <c r="RC2" s="318"/>
      <c r="RD2" s="318"/>
      <c r="RE2" s="318"/>
      <c r="RF2" s="318"/>
      <c r="RG2" s="318"/>
      <c r="RH2" s="318"/>
      <c r="RI2" s="318"/>
      <c r="RJ2" s="318"/>
      <c r="RK2" s="318"/>
      <c r="RL2" s="318"/>
      <c r="RM2" s="318"/>
      <c r="RN2" s="318"/>
      <c r="RO2" s="318"/>
      <c r="RP2" s="318"/>
      <c r="RQ2" s="318"/>
      <c r="RR2" s="318"/>
      <c r="RS2" s="318"/>
      <c r="RT2" s="318"/>
      <c r="RU2" s="318"/>
      <c r="RV2" s="318"/>
      <c r="RW2" s="318"/>
      <c r="RX2" s="318"/>
      <c r="RY2" s="318"/>
      <c r="RZ2" s="318"/>
      <c r="SA2" s="318"/>
      <c r="SB2" s="318"/>
      <c r="SC2" s="318"/>
      <c r="SD2" s="318"/>
      <c r="SE2" s="318"/>
      <c r="SF2" s="318"/>
      <c r="SG2" s="318"/>
      <c r="SH2" s="318"/>
      <c r="SI2" s="318"/>
      <c r="SJ2" s="318"/>
      <c r="SK2" s="318"/>
      <c r="SL2" s="318"/>
      <c r="SM2" s="318"/>
      <c r="SN2" s="318"/>
      <c r="SO2" s="318"/>
      <c r="SP2" s="318"/>
      <c r="SQ2" s="318"/>
      <c r="SR2" s="318"/>
      <c r="SS2" s="318"/>
      <c r="ST2" s="318"/>
      <c r="SU2" s="318"/>
      <c r="SV2" s="318"/>
      <c r="SW2" s="318"/>
      <c r="SX2" s="318"/>
      <c r="SY2" s="318"/>
      <c r="SZ2" s="318"/>
      <c r="TA2" s="318"/>
      <c r="TB2" s="318"/>
      <c r="TC2" s="318"/>
      <c r="TD2" s="318"/>
      <c r="TE2" s="318"/>
      <c r="TF2" s="318"/>
      <c r="TG2" s="318"/>
      <c r="TH2" s="318"/>
      <c r="TI2" s="318"/>
      <c r="TJ2" s="318"/>
      <c r="TK2" s="318"/>
      <c r="TL2" s="318"/>
      <c r="TM2" s="318"/>
      <c r="TN2" s="318"/>
      <c r="TO2" s="318"/>
      <c r="TP2" s="318"/>
      <c r="TQ2" s="318"/>
      <c r="TR2" s="318"/>
      <c r="TS2" s="318"/>
      <c r="TT2" s="318"/>
      <c r="TU2" s="318"/>
      <c r="TV2" s="318"/>
      <c r="TW2" s="318"/>
      <c r="TX2" s="318"/>
      <c r="TY2" s="318"/>
      <c r="TZ2" s="318"/>
      <c r="UA2" s="318"/>
      <c r="UB2" s="318"/>
      <c r="UC2" s="318"/>
      <c r="UD2" s="318"/>
      <c r="UE2" s="318"/>
      <c r="UF2" s="318"/>
      <c r="UG2" s="318"/>
      <c r="UH2" s="318"/>
      <c r="UI2" s="318"/>
      <c r="UJ2" s="318"/>
      <c r="UK2" s="318"/>
      <c r="UL2" s="318"/>
      <c r="UM2" s="318"/>
      <c r="UN2" s="318"/>
      <c r="UO2" s="318"/>
      <c r="UP2" s="318"/>
      <c r="UQ2" s="318"/>
      <c r="UR2" s="318"/>
      <c r="US2" s="318"/>
      <c r="UT2" s="318"/>
      <c r="UU2" s="318"/>
      <c r="UV2" s="318"/>
      <c r="UW2" s="318"/>
      <c r="UX2" s="318"/>
      <c r="UY2" s="318"/>
      <c r="UZ2" s="318"/>
      <c r="VA2" s="318"/>
      <c r="VB2" s="318"/>
      <c r="VC2" s="318"/>
      <c r="VD2" s="318"/>
      <c r="VE2" s="318"/>
      <c r="VF2" s="318"/>
      <c r="VG2" s="318"/>
      <c r="VH2" s="318"/>
      <c r="VI2" s="318"/>
      <c r="VJ2" s="318"/>
      <c r="VK2" s="318"/>
      <c r="VL2" s="318"/>
      <c r="VM2" s="318"/>
      <c r="VN2" s="318"/>
      <c r="VO2" s="318"/>
      <c r="VP2" s="318"/>
      <c r="VQ2" s="318"/>
      <c r="VR2" s="318"/>
      <c r="VS2" s="318"/>
      <c r="VT2" s="318"/>
      <c r="VU2" s="318"/>
      <c r="VV2" s="318"/>
      <c r="VW2" s="318"/>
      <c r="VX2" s="318"/>
      <c r="VY2" s="318"/>
      <c r="VZ2" s="318"/>
      <c r="WA2" s="318"/>
      <c r="WB2" s="318"/>
      <c r="WC2" s="318"/>
      <c r="WD2" s="318"/>
      <c r="WE2" s="318"/>
      <c r="WF2" s="318"/>
      <c r="WG2" s="318"/>
      <c r="WH2" s="318"/>
      <c r="WI2" s="318"/>
      <c r="WJ2" s="318"/>
      <c r="WK2" s="318"/>
      <c r="WL2" s="318"/>
      <c r="WM2" s="318"/>
      <c r="WN2" s="318"/>
      <c r="WO2" s="318"/>
      <c r="WP2" s="318"/>
      <c r="WQ2" s="318"/>
      <c r="WR2" s="318"/>
      <c r="WS2" s="318"/>
      <c r="WT2" s="318"/>
      <c r="WU2" s="318"/>
      <c r="WV2" s="318"/>
      <c r="WW2" s="318"/>
      <c r="WX2" s="318"/>
      <c r="WY2" s="318"/>
      <c r="WZ2" s="318"/>
      <c r="XA2" s="318"/>
      <c r="XB2" s="318"/>
      <c r="XC2" s="318"/>
      <c r="XD2" s="318"/>
      <c r="XE2" s="318"/>
      <c r="XF2" s="318"/>
      <c r="XG2" s="318"/>
      <c r="XH2" s="318"/>
      <c r="XI2" s="318"/>
      <c r="XJ2" s="318"/>
      <c r="XK2" s="318"/>
      <c r="XL2" s="318"/>
      <c r="XM2" s="318"/>
      <c r="XN2" s="318"/>
      <c r="XO2" s="318"/>
      <c r="XP2" s="318"/>
      <c r="XQ2" s="318"/>
      <c r="XR2" s="318"/>
      <c r="XS2" s="318"/>
      <c r="XT2" s="318"/>
      <c r="XU2" s="318"/>
      <c r="XV2" s="318"/>
      <c r="XW2" s="318"/>
      <c r="XX2" s="318"/>
      <c r="XY2" s="318"/>
      <c r="XZ2" s="318"/>
      <c r="YA2" s="318"/>
      <c r="YB2" s="318"/>
      <c r="YC2" s="318"/>
      <c r="YD2" s="318"/>
      <c r="YE2" s="318"/>
      <c r="YF2" s="318"/>
      <c r="YG2" s="318"/>
      <c r="YH2" s="318"/>
      <c r="YI2" s="318"/>
      <c r="YJ2" s="318"/>
      <c r="YK2" s="318"/>
      <c r="YL2" s="318"/>
      <c r="YM2" s="318"/>
      <c r="YN2" s="318"/>
      <c r="YO2" s="318"/>
      <c r="YP2" s="318"/>
      <c r="YQ2" s="318"/>
      <c r="YR2" s="318"/>
      <c r="YS2" s="318"/>
      <c r="YT2" s="318"/>
      <c r="YU2" s="318"/>
      <c r="YV2" s="318"/>
      <c r="YW2" s="318"/>
      <c r="YX2" s="318"/>
      <c r="YY2" s="318"/>
      <c r="YZ2" s="318"/>
      <c r="ZA2" s="318"/>
      <c r="ZB2" s="318"/>
      <c r="ZC2" s="318"/>
      <c r="ZD2" s="318"/>
      <c r="ZE2" s="318"/>
      <c r="ZF2" s="318"/>
      <c r="ZG2" s="318"/>
      <c r="ZH2" s="318"/>
      <c r="ZI2" s="318"/>
      <c r="ZJ2" s="318"/>
      <c r="ZK2" s="318"/>
      <c r="ZL2" s="318"/>
      <c r="ZM2" s="318"/>
      <c r="ZN2" s="318"/>
      <c r="ZO2" s="318"/>
      <c r="ZP2" s="318"/>
      <c r="ZQ2" s="318"/>
      <c r="ZR2" s="318"/>
      <c r="ZS2" s="318"/>
      <c r="ZT2" s="318"/>
      <c r="ZU2" s="318"/>
      <c r="ZV2" s="318"/>
      <c r="ZW2" s="318"/>
      <c r="ZX2" s="318"/>
      <c r="ZY2" s="318"/>
      <c r="ZZ2" s="318"/>
      <c r="AAA2" s="318"/>
      <c r="AAB2" s="318"/>
      <c r="AAC2" s="318"/>
      <c r="AAD2" s="318"/>
      <c r="AAE2" s="318"/>
      <c r="AAF2" s="318"/>
      <c r="AAG2" s="318"/>
      <c r="AAH2" s="318"/>
      <c r="AAI2" s="318"/>
      <c r="AAJ2" s="318"/>
      <c r="AAK2" s="318"/>
      <c r="AAL2" s="318"/>
      <c r="AAM2" s="318"/>
      <c r="AAN2" s="318"/>
      <c r="AAO2" s="318"/>
      <c r="AAP2" s="318"/>
      <c r="AAQ2" s="318"/>
      <c r="AAR2" s="318"/>
      <c r="AAS2" s="318"/>
      <c r="AAT2" s="318"/>
      <c r="AAU2" s="318"/>
      <c r="AAV2" s="318"/>
      <c r="AAW2" s="318"/>
      <c r="AAX2" s="318"/>
      <c r="AAY2" s="318"/>
      <c r="AAZ2" s="318"/>
      <c r="ABA2" s="318"/>
      <c r="ABB2" s="318"/>
      <c r="ABC2" s="318"/>
      <c r="ABD2" s="318"/>
      <c r="ABE2" s="318"/>
      <c r="ABF2" s="318"/>
      <c r="ABG2" s="318"/>
      <c r="ABH2" s="318"/>
      <c r="ABI2" s="318"/>
      <c r="ABJ2" s="318"/>
      <c r="ABK2" s="318"/>
      <c r="ABL2" s="318"/>
      <c r="ABM2" s="318"/>
      <c r="ABN2" s="318"/>
      <c r="ABO2" s="318"/>
      <c r="ABP2" s="318"/>
      <c r="ABQ2" s="318"/>
      <c r="ABR2" s="318"/>
      <c r="ABS2" s="318"/>
      <c r="ABT2" s="318"/>
      <c r="ABU2" s="318"/>
      <c r="ABV2" s="318"/>
      <c r="ABW2" s="318"/>
      <c r="ABX2" s="318"/>
      <c r="ABY2" s="318"/>
      <c r="ABZ2" s="318"/>
      <c r="ACA2" s="318"/>
      <c r="ACB2" s="318"/>
      <c r="ACC2" s="318"/>
      <c r="ACD2" s="318"/>
      <c r="ACE2" s="318"/>
      <c r="ACF2" s="318"/>
      <c r="ACG2" s="318"/>
      <c r="ACH2" s="318"/>
      <c r="ACI2" s="318"/>
      <c r="ACJ2" s="318"/>
      <c r="ACK2" s="318"/>
      <c r="ACL2" s="318"/>
      <c r="ACM2" s="318"/>
      <c r="ACN2" s="318"/>
      <c r="ACO2" s="318"/>
      <c r="ACP2" s="318"/>
      <c r="ACQ2" s="318"/>
      <c r="ACR2" s="318"/>
      <c r="ACS2" s="318"/>
      <c r="ACT2" s="318"/>
      <c r="ACU2" s="318"/>
      <c r="ACV2" s="318"/>
      <c r="ACW2" s="318"/>
      <c r="ACX2" s="318"/>
      <c r="ACY2" s="318"/>
      <c r="ACZ2" s="318"/>
      <c r="ADA2" s="318"/>
      <c r="ADB2" s="318"/>
      <c r="ADC2" s="318"/>
      <c r="ADD2" s="318"/>
      <c r="ADE2" s="318"/>
      <c r="ADF2" s="318"/>
      <c r="ADG2" s="318"/>
      <c r="ADH2" s="318"/>
      <c r="ADI2" s="318"/>
      <c r="ADJ2" s="318"/>
      <c r="ADK2" s="318"/>
      <c r="ADL2" s="318"/>
      <c r="ADM2" s="318"/>
      <c r="ADN2" s="318"/>
      <c r="ADO2" s="318"/>
      <c r="ADP2" s="318"/>
      <c r="ADQ2" s="318"/>
      <c r="ADR2" s="318"/>
      <c r="ADS2" s="318"/>
      <c r="ADT2" s="318"/>
      <c r="ADU2" s="318"/>
      <c r="ADV2" s="318"/>
      <c r="ADW2" s="318"/>
      <c r="ADX2" s="318"/>
      <c r="ADY2" s="318"/>
      <c r="ADZ2" s="318"/>
      <c r="AEA2" s="318"/>
      <c r="AEB2" s="318"/>
      <c r="AEC2" s="318"/>
      <c r="AED2" s="318"/>
      <c r="AEE2" s="318"/>
      <c r="AEF2" s="318"/>
      <c r="AEG2" s="318"/>
      <c r="AEH2" s="318"/>
      <c r="AEI2" s="318"/>
      <c r="AEJ2" s="318"/>
      <c r="AEK2" s="318"/>
      <c r="AEL2" s="318"/>
      <c r="AEM2" s="318"/>
      <c r="AEN2" s="318"/>
      <c r="AEO2" s="318"/>
      <c r="AEP2" s="318"/>
      <c r="AEQ2" s="318"/>
      <c r="AER2" s="318"/>
      <c r="AES2" s="318"/>
      <c r="AET2" s="318"/>
      <c r="AEU2" s="318"/>
      <c r="AEV2" s="318"/>
      <c r="AEW2" s="318"/>
      <c r="AEX2" s="318"/>
      <c r="AEY2" s="318"/>
      <c r="AEZ2" s="318"/>
      <c r="AFA2" s="318"/>
      <c r="AFB2" s="318"/>
      <c r="AFC2" s="318"/>
      <c r="AFD2" s="318"/>
      <c r="AFE2" s="318"/>
      <c r="AFF2" s="318"/>
      <c r="AFG2" s="318"/>
      <c r="AFH2" s="318"/>
      <c r="AFI2" s="318"/>
      <c r="AFJ2" s="318"/>
      <c r="AFK2" s="318"/>
      <c r="AFL2" s="318"/>
      <c r="AFM2" s="318"/>
      <c r="AFN2" s="318"/>
      <c r="AFO2" s="318"/>
      <c r="AFP2" s="318"/>
      <c r="AFQ2" s="318"/>
      <c r="AFR2" s="318"/>
      <c r="AFS2" s="318"/>
      <c r="AFT2" s="318"/>
      <c r="AFU2" s="318"/>
      <c r="AFV2" s="318"/>
      <c r="AFW2" s="318"/>
      <c r="AFX2" s="318"/>
      <c r="AFY2" s="318"/>
      <c r="AFZ2" s="318"/>
      <c r="AGA2" s="318"/>
      <c r="AGB2" s="318"/>
      <c r="AGC2" s="318"/>
      <c r="AGD2" s="318"/>
      <c r="AGE2" s="318"/>
      <c r="AGF2" s="318"/>
      <c r="AGG2" s="318"/>
      <c r="AGH2" s="318"/>
      <c r="AGI2" s="318"/>
      <c r="AGJ2" s="318"/>
      <c r="AGK2" s="318"/>
      <c r="AGL2" s="318"/>
      <c r="AGM2" s="318"/>
      <c r="AGN2" s="318"/>
      <c r="AGO2" s="318"/>
      <c r="AGP2" s="318"/>
      <c r="AGQ2" s="318"/>
      <c r="AGR2" s="318"/>
      <c r="AGS2" s="318"/>
      <c r="AGT2" s="318"/>
      <c r="AGU2" s="318"/>
      <c r="AGV2" s="318"/>
      <c r="AGW2" s="318"/>
      <c r="AGX2" s="318"/>
      <c r="AGY2" s="318"/>
      <c r="AGZ2" s="318"/>
      <c r="AHA2" s="318"/>
      <c r="AHB2" s="318"/>
      <c r="AHC2" s="318"/>
      <c r="AHD2" s="318"/>
      <c r="AHE2" s="318"/>
      <c r="AHF2" s="318"/>
      <c r="AHG2" s="318"/>
      <c r="AHH2" s="318"/>
      <c r="AHI2" s="318"/>
      <c r="AHJ2" s="318"/>
      <c r="AHK2" s="318"/>
      <c r="AHL2" s="318"/>
      <c r="AHM2" s="318"/>
      <c r="AHN2" s="318"/>
      <c r="AHO2" s="318"/>
      <c r="AHP2" s="318"/>
      <c r="AHQ2" s="318"/>
      <c r="AHR2" s="318"/>
      <c r="AHS2" s="318"/>
      <c r="AHT2" s="318"/>
      <c r="AHU2" s="318"/>
      <c r="AHV2" s="318"/>
      <c r="AHW2" s="318"/>
      <c r="AHX2" s="318"/>
      <c r="AHY2" s="318"/>
      <c r="AHZ2" s="318"/>
      <c r="AIA2" s="318"/>
      <c r="AIB2" s="318"/>
      <c r="AIC2" s="318"/>
      <c r="AID2" s="318"/>
      <c r="AIE2" s="318"/>
      <c r="AIF2" s="318"/>
      <c r="AIG2" s="318"/>
      <c r="AIH2" s="318"/>
      <c r="AII2" s="318"/>
      <c r="AIJ2" s="318"/>
      <c r="AIK2" s="318"/>
      <c r="AIL2" s="318"/>
      <c r="AIM2" s="318"/>
      <c r="AIN2" s="318"/>
      <c r="AIO2" s="318"/>
      <c r="AIP2" s="318"/>
      <c r="AIQ2" s="318"/>
      <c r="AIR2" s="318"/>
      <c r="AIS2" s="318"/>
      <c r="AIT2" s="318"/>
      <c r="AIU2" s="318"/>
      <c r="AIV2" s="318"/>
      <c r="AIW2" s="318"/>
      <c r="AIX2" s="318"/>
      <c r="AIY2" s="318"/>
      <c r="AIZ2" s="318"/>
      <c r="AJA2" s="318"/>
      <c r="AJB2" s="318"/>
      <c r="AJC2" s="318"/>
      <c r="AJD2" s="318"/>
      <c r="AJE2" s="318"/>
      <c r="AJF2" s="318"/>
      <c r="AJG2" s="318"/>
      <c r="AJH2" s="318"/>
      <c r="AJI2" s="318"/>
      <c r="AJJ2" s="318"/>
      <c r="AJK2" s="318"/>
      <c r="AJL2" s="318"/>
      <c r="AJM2" s="318"/>
      <c r="AJN2" s="318"/>
      <c r="AJO2" s="318"/>
      <c r="AJP2" s="318"/>
      <c r="AJQ2" s="318"/>
      <c r="AJR2" s="318"/>
      <c r="AJS2" s="318"/>
      <c r="AJT2" s="318"/>
      <c r="AJU2" s="318"/>
      <c r="AJV2" s="318"/>
      <c r="AJW2" s="318"/>
      <c r="AJX2" s="318"/>
      <c r="AJY2" s="318"/>
      <c r="AJZ2" s="318"/>
      <c r="AKA2" s="318"/>
      <c r="AKB2" s="318"/>
      <c r="AKC2" s="318"/>
      <c r="AKD2" s="318"/>
      <c r="AKE2" s="318"/>
      <c r="AKF2" s="318"/>
      <c r="AKG2" s="318"/>
      <c r="AKH2" s="318"/>
      <c r="AKI2" s="318"/>
      <c r="AKJ2" s="318"/>
      <c r="AKK2" s="318"/>
      <c r="AKL2" s="318"/>
      <c r="AKM2" s="318"/>
      <c r="AKN2" s="318"/>
      <c r="AKO2" s="318"/>
      <c r="AKP2" s="318"/>
      <c r="AKQ2" s="318"/>
      <c r="AKR2" s="318"/>
      <c r="AKS2" s="318"/>
      <c r="AKT2" s="318"/>
      <c r="AKU2" s="318"/>
      <c r="AKV2" s="318"/>
      <c r="AKW2" s="318"/>
      <c r="AKX2" s="318"/>
      <c r="AKY2" s="318"/>
      <c r="AKZ2" s="318"/>
      <c r="ALA2" s="318"/>
      <c r="ALB2" s="318"/>
      <c r="ALC2" s="318"/>
    </row>
    <row r="3" spans="1:991" ht="14.25" customHeight="1" x14ac:dyDescent="0.25">
      <c r="A3" s="318"/>
      <c r="B3" s="319"/>
      <c r="C3" s="329"/>
      <c r="D3" s="318"/>
      <c r="E3" s="330"/>
      <c r="F3" s="331"/>
      <c r="G3" s="331"/>
      <c r="H3" s="331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  <c r="AJ3" s="332"/>
      <c r="AK3" s="332"/>
      <c r="AL3" s="332"/>
      <c r="AM3" s="332"/>
      <c r="AN3" s="332"/>
      <c r="AO3" s="332"/>
      <c r="AP3" s="332"/>
      <c r="AQ3" s="332"/>
      <c r="AR3" s="332"/>
      <c r="AS3" s="332"/>
      <c r="AT3" s="332"/>
      <c r="AU3" s="332"/>
      <c r="AV3" s="332"/>
      <c r="AW3" s="332"/>
      <c r="AX3" s="332"/>
      <c r="AY3" s="332"/>
      <c r="AZ3" s="332"/>
      <c r="BA3" s="332"/>
      <c r="BB3" s="332"/>
      <c r="BC3" s="318"/>
      <c r="BD3" s="318"/>
      <c r="BE3" s="318"/>
      <c r="BF3" s="318"/>
      <c r="BG3" s="318"/>
      <c r="BH3" s="318"/>
      <c r="BI3" s="318"/>
      <c r="BJ3" s="318"/>
      <c r="BK3" s="318"/>
      <c r="BL3" s="318"/>
      <c r="BM3" s="318"/>
      <c r="BN3" s="318"/>
      <c r="BO3" s="318"/>
      <c r="BP3" s="318"/>
      <c r="BQ3" s="318"/>
      <c r="BR3" s="318"/>
      <c r="BS3" s="318"/>
      <c r="BT3" s="318"/>
      <c r="BU3" s="318"/>
      <c r="BV3" s="318"/>
      <c r="BW3" s="318"/>
      <c r="BX3" s="318"/>
      <c r="BY3" s="318"/>
      <c r="BZ3" s="318"/>
      <c r="CA3" s="318"/>
      <c r="CB3" s="318"/>
      <c r="CC3" s="318"/>
      <c r="CD3" s="318"/>
      <c r="CE3" s="318"/>
      <c r="CF3" s="318"/>
      <c r="CG3" s="318"/>
      <c r="CH3" s="318"/>
      <c r="CI3" s="318"/>
      <c r="CJ3" s="318"/>
      <c r="CK3" s="318"/>
      <c r="CL3" s="318"/>
      <c r="CM3" s="318"/>
      <c r="CN3" s="318"/>
      <c r="CO3" s="318"/>
      <c r="CP3" s="318"/>
      <c r="CQ3" s="318"/>
      <c r="CR3" s="318"/>
      <c r="CS3" s="318"/>
      <c r="CT3" s="318"/>
      <c r="CU3" s="318"/>
      <c r="CV3" s="318"/>
      <c r="CW3" s="318"/>
      <c r="CX3" s="318"/>
      <c r="CY3" s="318"/>
      <c r="CZ3" s="318"/>
      <c r="DA3" s="318"/>
      <c r="DB3" s="318"/>
      <c r="DC3" s="318"/>
      <c r="DD3" s="318"/>
      <c r="DE3" s="318"/>
      <c r="DF3" s="318"/>
      <c r="DG3" s="318"/>
      <c r="DH3" s="318"/>
      <c r="DI3" s="318"/>
      <c r="DJ3" s="318"/>
      <c r="DK3" s="318"/>
      <c r="DL3" s="318"/>
      <c r="DM3" s="318"/>
      <c r="DN3" s="318"/>
      <c r="DO3" s="318"/>
      <c r="DP3" s="318"/>
      <c r="DQ3" s="318"/>
      <c r="DR3" s="318"/>
      <c r="DS3" s="318"/>
      <c r="DT3" s="318"/>
      <c r="DU3" s="318"/>
      <c r="DV3" s="318"/>
      <c r="DW3" s="318"/>
      <c r="DX3" s="318"/>
      <c r="DY3" s="318"/>
      <c r="DZ3" s="318"/>
      <c r="EA3" s="318"/>
      <c r="EB3" s="318"/>
      <c r="EC3" s="318"/>
      <c r="ED3" s="318"/>
      <c r="EE3" s="318"/>
      <c r="EF3" s="318"/>
      <c r="EG3" s="318"/>
      <c r="EH3" s="318"/>
      <c r="EI3" s="318"/>
      <c r="EJ3" s="318"/>
      <c r="EK3" s="318"/>
      <c r="EL3" s="318"/>
      <c r="EM3" s="318"/>
      <c r="EN3" s="318"/>
      <c r="EO3" s="318"/>
      <c r="EP3" s="318"/>
      <c r="EQ3" s="318"/>
      <c r="ER3" s="318"/>
      <c r="ES3" s="318"/>
      <c r="ET3" s="318"/>
      <c r="EU3" s="318"/>
      <c r="EV3" s="318"/>
      <c r="EW3" s="318"/>
      <c r="EX3" s="318"/>
      <c r="EY3" s="318"/>
      <c r="EZ3" s="318"/>
      <c r="FA3" s="318"/>
      <c r="FB3" s="318"/>
      <c r="FC3" s="318"/>
      <c r="FD3" s="318"/>
      <c r="FE3" s="318"/>
      <c r="FF3" s="318"/>
      <c r="FG3" s="318"/>
      <c r="FH3" s="318"/>
      <c r="FI3" s="318"/>
      <c r="FJ3" s="318"/>
      <c r="FK3" s="318"/>
      <c r="FL3" s="318"/>
      <c r="FM3" s="318"/>
      <c r="FN3" s="318"/>
      <c r="FO3" s="318"/>
      <c r="FP3" s="318"/>
      <c r="FQ3" s="318"/>
      <c r="FR3" s="318"/>
      <c r="FS3" s="318"/>
      <c r="FT3" s="318"/>
      <c r="FU3" s="318"/>
      <c r="FV3" s="318"/>
      <c r="FW3" s="318"/>
      <c r="FX3" s="318"/>
      <c r="FY3" s="318"/>
      <c r="FZ3" s="318"/>
      <c r="GA3" s="318"/>
      <c r="GB3" s="318"/>
      <c r="GC3" s="318"/>
      <c r="GD3" s="318"/>
      <c r="GE3" s="318"/>
      <c r="GF3" s="318"/>
      <c r="GG3" s="318"/>
      <c r="GH3" s="318"/>
      <c r="GI3" s="318"/>
      <c r="GJ3" s="318"/>
      <c r="GK3" s="318"/>
      <c r="GL3" s="318"/>
      <c r="GM3" s="318"/>
      <c r="GN3" s="318"/>
      <c r="GO3" s="318"/>
      <c r="GP3" s="318"/>
      <c r="GQ3" s="318"/>
      <c r="GR3" s="318"/>
      <c r="GS3" s="318"/>
      <c r="GT3" s="318"/>
      <c r="GU3" s="318"/>
      <c r="GV3" s="318"/>
      <c r="GW3" s="318"/>
      <c r="GX3" s="318"/>
      <c r="GY3" s="318"/>
      <c r="GZ3" s="318"/>
      <c r="HA3" s="318"/>
      <c r="HB3" s="318"/>
      <c r="HC3" s="318"/>
      <c r="HD3" s="318"/>
      <c r="HE3" s="318"/>
      <c r="HF3" s="318"/>
      <c r="HG3" s="318"/>
      <c r="HH3" s="318"/>
      <c r="HI3" s="318"/>
      <c r="HJ3" s="318"/>
      <c r="HK3" s="318"/>
      <c r="HL3" s="318"/>
      <c r="HM3" s="318"/>
      <c r="HN3" s="318"/>
      <c r="HO3" s="318"/>
      <c r="HP3" s="318"/>
      <c r="HQ3" s="318"/>
      <c r="HR3" s="318"/>
      <c r="HS3" s="318"/>
      <c r="HT3" s="318"/>
      <c r="HU3" s="318"/>
      <c r="HV3" s="318"/>
      <c r="HW3" s="318"/>
      <c r="HX3" s="318"/>
      <c r="HY3" s="318"/>
      <c r="HZ3" s="318"/>
      <c r="IA3" s="318"/>
      <c r="IB3" s="318"/>
      <c r="IC3" s="318"/>
      <c r="ID3" s="318"/>
      <c r="IE3" s="318"/>
      <c r="IF3" s="318"/>
      <c r="IG3" s="318"/>
      <c r="IH3" s="318"/>
      <c r="II3" s="318"/>
      <c r="IJ3" s="318"/>
      <c r="IK3" s="318"/>
      <c r="IL3" s="318"/>
      <c r="IM3" s="318"/>
      <c r="IN3" s="318"/>
      <c r="IO3" s="318"/>
      <c r="IP3" s="318"/>
      <c r="IQ3" s="318"/>
      <c r="IR3" s="318"/>
      <c r="IS3" s="318"/>
      <c r="IT3" s="318"/>
      <c r="IU3" s="318"/>
      <c r="IV3" s="318"/>
      <c r="IW3" s="318"/>
      <c r="IX3" s="318"/>
      <c r="IY3" s="318"/>
      <c r="IZ3" s="318"/>
      <c r="JA3" s="318"/>
      <c r="JB3" s="318"/>
      <c r="JC3" s="318"/>
      <c r="JD3" s="318"/>
      <c r="JE3" s="318"/>
      <c r="JF3" s="318"/>
      <c r="JG3" s="318"/>
      <c r="JH3" s="318"/>
      <c r="JI3" s="318"/>
      <c r="JJ3" s="318"/>
      <c r="JK3" s="318"/>
      <c r="JL3" s="318"/>
      <c r="JM3" s="318"/>
      <c r="JN3" s="318"/>
      <c r="JO3" s="318"/>
      <c r="JP3" s="318"/>
      <c r="JQ3" s="318"/>
      <c r="JR3" s="318"/>
      <c r="JS3" s="318"/>
      <c r="JT3" s="318"/>
      <c r="JU3" s="318"/>
      <c r="JV3" s="318"/>
      <c r="JW3" s="318"/>
      <c r="JX3" s="318"/>
      <c r="JY3" s="318"/>
      <c r="JZ3" s="318"/>
      <c r="KA3" s="318"/>
      <c r="KB3" s="318"/>
      <c r="KC3" s="318"/>
      <c r="KD3" s="318"/>
      <c r="KE3" s="318"/>
      <c r="KF3" s="318"/>
      <c r="KG3" s="318"/>
      <c r="KH3" s="318"/>
      <c r="KI3" s="318"/>
      <c r="KJ3" s="318"/>
      <c r="KK3" s="318"/>
      <c r="KL3" s="318"/>
      <c r="KM3" s="318"/>
      <c r="KN3" s="318"/>
      <c r="KO3" s="318"/>
      <c r="KP3" s="318"/>
      <c r="KQ3" s="318"/>
      <c r="KR3" s="318"/>
      <c r="KS3" s="318"/>
      <c r="KT3" s="318"/>
      <c r="KU3" s="318"/>
      <c r="KV3" s="318"/>
      <c r="KW3" s="318"/>
      <c r="KX3" s="318"/>
      <c r="KY3" s="318"/>
      <c r="KZ3" s="318"/>
      <c r="LA3" s="318"/>
      <c r="LB3" s="318"/>
      <c r="LC3" s="318"/>
      <c r="LD3" s="318"/>
      <c r="LE3" s="318"/>
      <c r="LF3" s="318"/>
      <c r="LG3" s="318"/>
      <c r="LH3" s="318"/>
      <c r="LI3" s="318"/>
      <c r="LJ3" s="318"/>
      <c r="LK3" s="318"/>
      <c r="LL3" s="318"/>
      <c r="LM3" s="318"/>
      <c r="LN3" s="318"/>
      <c r="LO3" s="318"/>
      <c r="LP3" s="318"/>
      <c r="LQ3" s="318"/>
      <c r="LR3" s="318"/>
      <c r="LS3" s="318"/>
      <c r="LT3" s="318"/>
      <c r="LU3" s="318"/>
      <c r="LV3" s="318"/>
      <c r="LW3" s="318"/>
      <c r="LX3" s="318"/>
      <c r="LY3" s="318"/>
      <c r="LZ3" s="318"/>
      <c r="MA3" s="318"/>
      <c r="MB3" s="318"/>
      <c r="MC3" s="318"/>
      <c r="MD3" s="318"/>
      <c r="ME3" s="318"/>
      <c r="MF3" s="318"/>
      <c r="MG3" s="318"/>
      <c r="MH3" s="318"/>
      <c r="MI3" s="318"/>
      <c r="MJ3" s="318"/>
      <c r="MK3" s="318"/>
      <c r="ML3" s="318"/>
      <c r="MM3" s="318"/>
      <c r="MN3" s="318"/>
      <c r="MO3" s="318"/>
      <c r="MP3" s="318"/>
      <c r="MQ3" s="318"/>
      <c r="MR3" s="318"/>
      <c r="MS3" s="318"/>
      <c r="MT3" s="318"/>
      <c r="MU3" s="318"/>
      <c r="MV3" s="318"/>
      <c r="MW3" s="318"/>
      <c r="MX3" s="318"/>
      <c r="MY3" s="318"/>
      <c r="MZ3" s="318"/>
      <c r="NA3" s="318"/>
      <c r="NB3" s="318"/>
      <c r="NC3" s="318"/>
      <c r="ND3" s="318"/>
      <c r="NE3" s="318"/>
      <c r="NF3" s="318"/>
      <c r="NG3" s="318"/>
      <c r="NH3" s="318"/>
      <c r="NI3" s="318"/>
      <c r="NJ3" s="318"/>
      <c r="NK3" s="318"/>
      <c r="NL3" s="318"/>
      <c r="NM3" s="318"/>
      <c r="NN3" s="318"/>
      <c r="NO3" s="318"/>
      <c r="NP3" s="318"/>
      <c r="NQ3" s="318"/>
      <c r="NR3" s="318"/>
      <c r="NS3" s="318"/>
      <c r="NT3" s="318"/>
      <c r="NU3" s="318"/>
      <c r="NV3" s="318"/>
      <c r="NW3" s="318"/>
      <c r="NX3" s="318"/>
      <c r="NY3" s="318"/>
      <c r="NZ3" s="318"/>
      <c r="OA3" s="318"/>
      <c r="OB3" s="318"/>
      <c r="OC3" s="318"/>
      <c r="OD3" s="318"/>
      <c r="OE3" s="318"/>
      <c r="OF3" s="318"/>
      <c r="OG3" s="318"/>
      <c r="OH3" s="318"/>
      <c r="OI3" s="318"/>
      <c r="OJ3" s="318"/>
      <c r="OK3" s="318"/>
      <c r="OL3" s="318"/>
      <c r="OM3" s="318"/>
      <c r="ON3" s="318"/>
      <c r="OO3" s="318"/>
      <c r="OP3" s="318"/>
      <c r="OQ3" s="318"/>
      <c r="OR3" s="318"/>
      <c r="OS3" s="318"/>
      <c r="OT3" s="318"/>
      <c r="OU3" s="318"/>
      <c r="OV3" s="318"/>
      <c r="OW3" s="318"/>
      <c r="OX3" s="318"/>
      <c r="OY3" s="318"/>
      <c r="OZ3" s="318"/>
      <c r="PA3" s="318"/>
      <c r="PB3" s="318"/>
      <c r="PC3" s="318"/>
      <c r="PD3" s="318"/>
      <c r="PE3" s="318"/>
      <c r="PF3" s="318"/>
      <c r="PG3" s="318"/>
      <c r="PH3" s="318"/>
      <c r="PI3" s="318"/>
      <c r="PJ3" s="318"/>
      <c r="PK3" s="318"/>
      <c r="PL3" s="318"/>
      <c r="PM3" s="318"/>
      <c r="PN3" s="318"/>
      <c r="PO3" s="318"/>
      <c r="PP3" s="318"/>
      <c r="PQ3" s="318"/>
      <c r="PR3" s="318"/>
      <c r="PS3" s="318"/>
      <c r="PT3" s="318"/>
      <c r="PU3" s="318"/>
      <c r="PV3" s="318"/>
      <c r="PW3" s="318"/>
      <c r="PX3" s="318"/>
      <c r="PY3" s="318"/>
      <c r="PZ3" s="318"/>
      <c r="QA3" s="318"/>
      <c r="QB3" s="318"/>
      <c r="QC3" s="318"/>
      <c r="QD3" s="318"/>
      <c r="QE3" s="318"/>
      <c r="QF3" s="318"/>
      <c r="QG3" s="318"/>
      <c r="QH3" s="318"/>
      <c r="QI3" s="318"/>
      <c r="QJ3" s="318"/>
      <c r="QK3" s="318"/>
      <c r="QL3" s="318"/>
      <c r="QM3" s="318"/>
      <c r="QN3" s="318"/>
      <c r="QO3" s="318"/>
      <c r="QP3" s="318"/>
      <c r="QQ3" s="318"/>
      <c r="QR3" s="318"/>
      <c r="QS3" s="318"/>
      <c r="QT3" s="318"/>
      <c r="QU3" s="318"/>
      <c r="QV3" s="318"/>
      <c r="QW3" s="318"/>
      <c r="QX3" s="318"/>
      <c r="QY3" s="318"/>
      <c r="QZ3" s="318"/>
      <c r="RA3" s="318"/>
      <c r="RB3" s="318"/>
      <c r="RC3" s="318"/>
      <c r="RD3" s="318"/>
      <c r="RE3" s="318"/>
      <c r="RF3" s="318"/>
      <c r="RG3" s="318"/>
      <c r="RH3" s="318"/>
      <c r="RI3" s="318"/>
      <c r="RJ3" s="318"/>
      <c r="RK3" s="318"/>
      <c r="RL3" s="318"/>
      <c r="RM3" s="318"/>
      <c r="RN3" s="318"/>
      <c r="RO3" s="318"/>
      <c r="RP3" s="318"/>
      <c r="RQ3" s="318"/>
      <c r="RR3" s="318"/>
      <c r="RS3" s="318"/>
      <c r="RT3" s="318"/>
      <c r="RU3" s="318"/>
      <c r="RV3" s="318"/>
      <c r="RW3" s="318"/>
      <c r="RX3" s="318"/>
      <c r="RY3" s="318"/>
      <c r="RZ3" s="318"/>
      <c r="SA3" s="318"/>
      <c r="SB3" s="318"/>
      <c r="SC3" s="318"/>
      <c r="SD3" s="318"/>
      <c r="SE3" s="318"/>
      <c r="SF3" s="318"/>
      <c r="SG3" s="318"/>
      <c r="SH3" s="318"/>
      <c r="SI3" s="318"/>
      <c r="SJ3" s="318"/>
      <c r="SK3" s="318"/>
      <c r="SL3" s="318"/>
      <c r="SM3" s="318"/>
      <c r="SN3" s="318"/>
      <c r="SO3" s="318"/>
      <c r="SP3" s="318"/>
      <c r="SQ3" s="318"/>
      <c r="SR3" s="318"/>
      <c r="SS3" s="318"/>
      <c r="ST3" s="318"/>
      <c r="SU3" s="318"/>
      <c r="SV3" s="318"/>
      <c r="SW3" s="318"/>
      <c r="SX3" s="318"/>
      <c r="SY3" s="318"/>
      <c r="SZ3" s="318"/>
      <c r="TA3" s="318"/>
      <c r="TB3" s="318"/>
      <c r="TC3" s="318"/>
      <c r="TD3" s="318"/>
      <c r="TE3" s="318"/>
      <c r="TF3" s="318"/>
      <c r="TG3" s="318"/>
      <c r="TH3" s="318"/>
      <c r="TI3" s="318"/>
      <c r="TJ3" s="318"/>
      <c r="TK3" s="318"/>
      <c r="TL3" s="318"/>
      <c r="TM3" s="318"/>
      <c r="TN3" s="318"/>
      <c r="TO3" s="318"/>
      <c r="TP3" s="318"/>
      <c r="TQ3" s="318"/>
      <c r="TR3" s="318"/>
      <c r="TS3" s="318"/>
      <c r="TT3" s="318"/>
      <c r="TU3" s="318"/>
      <c r="TV3" s="318"/>
      <c r="TW3" s="318"/>
      <c r="TX3" s="318"/>
      <c r="TY3" s="318"/>
      <c r="TZ3" s="318"/>
      <c r="UA3" s="318"/>
      <c r="UB3" s="318"/>
      <c r="UC3" s="318"/>
      <c r="UD3" s="318"/>
      <c r="UE3" s="318"/>
      <c r="UF3" s="318"/>
      <c r="UG3" s="318"/>
      <c r="UH3" s="318"/>
      <c r="UI3" s="318"/>
      <c r="UJ3" s="318"/>
      <c r="UK3" s="318"/>
      <c r="UL3" s="318"/>
      <c r="UM3" s="318"/>
      <c r="UN3" s="318"/>
      <c r="UO3" s="318"/>
      <c r="UP3" s="318"/>
      <c r="UQ3" s="318"/>
      <c r="UR3" s="318"/>
      <c r="US3" s="318"/>
      <c r="UT3" s="318"/>
      <c r="UU3" s="318"/>
      <c r="UV3" s="318"/>
      <c r="UW3" s="318"/>
      <c r="UX3" s="318"/>
      <c r="UY3" s="318"/>
      <c r="UZ3" s="318"/>
      <c r="VA3" s="318"/>
      <c r="VB3" s="318"/>
      <c r="VC3" s="318"/>
      <c r="VD3" s="318"/>
      <c r="VE3" s="318"/>
      <c r="VF3" s="318"/>
      <c r="VG3" s="318"/>
      <c r="VH3" s="318"/>
      <c r="VI3" s="318"/>
      <c r="VJ3" s="318"/>
      <c r="VK3" s="318"/>
      <c r="VL3" s="318"/>
      <c r="VM3" s="318"/>
      <c r="VN3" s="318"/>
      <c r="VO3" s="318"/>
      <c r="VP3" s="318"/>
      <c r="VQ3" s="318"/>
      <c r="VR3" s="318"/>
      <c r="VS3" s="318"/>
      <c r="VT3" s="318"/>
      <c r="VU3" s="318"/>
      <c r="VV3" s="318"/>
      <c r="VW3" s="318"/>
      <c r="VX3" s="318"/>
      <c r="VY3" s="318"/>
      <c r="VZ3" s="318"/>
      <c r="WA3" s="318"/>
      <c r="WB3" s="318"/>
      <c r="WC3" s="318"/>
      <c r="WD3" s="318"/>
      <c r="WE3" s="318"/>
      <c r="WF3" s="318"/>
      <c r="WG3" s="318"/>
      <c r="WH3" s="318"/>
      <c r="WI3" s="318"/>
      <c r="WJ3" s="318"/>
      <c r="WK3" s="318"/>
      <c r="WL3" s="318"/>
      <c r="WM3" s="318"/>
      <c r="WN3" s="318"/>
      <c r="WO3" s="318"/>
      <c r="WP3" s="318"/>
      <c r="WQ3" s="318"/>
      <c r="WR3" s="318"/>
      <c r="WS3" s="318"/>
      <c r="WT3" s="318"/>
      <c r="WU3" s="318"/>
      <c r="WV3" s="318"/>
      <c r="WW3" s="318"/>
      <c r="WX3" s="318"/>
      <c r="WY3" s="318"/>
      <c r="WZ3" s="318"/>
      <c r="XA3" s="318"/>
      <c r="XB3" s="318"/>
      <c r="XC3" s="318"/>
      <c r="XD3" s="318"/>
      <c r="XE3" s="318"/>
      <c r="XF3" s="318"/>
      <c r="XG3" s="318"/>
      <c r="XH3" s="318"/>
      <c r="XI3" s="318"/>
      <c r="XJ3" s="318"/>
      <c r="XK3" s="318"/>
      <c r="XL3" s="318"/>
      <c r="XM3" s="318"/>
      <c r="XN3" s="318"/>
      <c r="XO3" s="318"/>
      <c r="XP3" s="318"/>
      <c r="XQ3" s="318"/>
      <c r="XR3" s="318"/>
      <c r="XS3" s="318"/>
      <c r="XT3" s="318"/>
      <c r="XU3" s="318"/>
      <c r="XV3" s="318"/>
      <c r="XW3" s="318"/>
      <c r="XX3" s="318"/>
      <c r="XY3" s="318"/>
      <c r="XZ3" s="318"/>
      <c r="YA3" s="318"/>
      <c r="YB3" s="318"/>
      <c r="YC3" s="318"/>
      <c r="YD3" s="318"/>
      <c r="YE3" s="318"/>
      <c r="YF3" s="318"/>
      <c r="YG3" s="318"/>
      <c r="YH3" s="318"/>
      <c r="YI3" s="318"/>
      <c r="YJ3" s="318"/>
      <c r="YK3" s="318"/>
      <c r="YL3" s="318"/>
      <c r="YM3" s="318"/>
      <c r="YN3" s="318"/>
      <c r="YO3" s="318"/>
      <c r="YP3" s="318"/>
      <c r="YQ3" s="318"/>
      <c r="YR3" s="318"/>
      <c r="YS3" s="318"/>
      <c r="YT3" s="318"/>
      <c r="YU3" s="318"/>
      <c r="YV3" s="318"/>
      <c r="YW3" s="318"/>
      <c r="YX3" s="318"/>
      <c r="YY3" s="318"/>
      <c r="YZ3" s="318"/>
      <c r="ZA3" s="318"/>
      <c r="ZB3" s="318"/>
      <c r="ZC3" s="318"/>
      <c r="ZD3" s="318"/>
      <c r="ZE3" s="318"/>
      <c r="ZF3" s="318"/>
      <c r="ZG3" s="318"/>
      <c r="ZH3" s="318"/>
      <c r="ZI3" s="318"/>
      <c r="ZJ3" s="318"/>
      <c r="ZK3" s="318"/>
      <c r="ZL3" s="318"/>
      <c r="ZM3" s="318"/>
      <c r="ZN3" s="318"/>
      <c r="ZO3" s="318"/>
      <c r="ZP3" s="318"/>
      <c r="ZQ3" s="318"/>
      <c r="ZR3" s="318"/>
      <c r="ZS3" s="318"/>
      <c r="ZT3" s="318"/>
      <c r="ZU3" s="318"/>
      <c r="ZV3" s="318"/>
      <c r="ZW3" s="318"/>
      <c r="ZX3" s="318"/>
      <c r="ZY3" s="318"/>
      <c r="ZZ3" s="318"/>
      <c r="AAA3" s="318"/>
      <c r="AAB3" s="318"/>
      <c r="AAC3" s="318"/>
      <c r="AAD3" s="318"/>
      <c r="AAE3" s="318"/>
      <c r="AAF3" s="318"/>
      <c r="AAG3" s="318"/>
      <c r="AAH3" s="318"/>
      <c r="AAI3" s="318"/>
      <c r="AAJ3" s="318"/>
      <c r="AAK3" s="318"/>
      <c r="AAL3" s="318"/>
      <c r="AAM3" s="318"/>
      <c r="AAN3" s="318"/>
      <c r="AAO3" s="318"/>
      <c r="AAP3" s="318"/>
      <c r="AAQ3" s="318"/>
      <c r="AAR3" s="318"/>
      <c r="AAS3" s="318"/>
      <c r="AAT3" s="318"/>
      <c r="AAU3" s="318"/>
      <c r="AAV3" s="318"/>
      <c r="AAW3" s="318"/>
      <c r="AAX3" s="318"/>
      <c r="AAY3" s="318"/>
      <c r="AAZ3" s="318"/>
      <c r="ABA3" s="318"/>
      <c r="ABB3" s="318"/>
      <c r="ABC3" s="318"/>
      <c r="ABD3" s="318"/>
      <c r="ABE3" s="318"/>
      <c r="ABF3" s="318"/>
      <c r="ABG3" s="318"/>
      <c r="ABH3" s="318"/>
      <c r="ABI3" s="318"/>
      <c r="ABJ3" s="318"/>
      <c r="ABK3" s="318"/>
      <c r="ABL3" s="318"/>
      <c r="ABM3" s="318"/>
      <c r="ABN3" s="318"/>
      <c r="ABO3" s="318"/>
      <c r="ABP3" s="318"/>
      <c r="ABQ3" s="318"/>
      <c r="ABR3" s="318"/>
      <c r="ABS3" s="318"/>
      <c r="ABT3" s="318"/>
      <c r="ABU3" s="318"/>
      <c r="ABV3" s="318"/>
      <c r="ABW3" s="318"/>
      <c r="ABX3" s="318"/>
      <c r="ABY3" s="318"/>
      <c r="ABZ3" s="318"/>
      <c r="ACA3" s="318"/>
      <c r="ACB3" s="318"/>
      <c r="ACC3" s="318"/>
      <c r="ACD3" s="318"/>
      <c r="ACE3" s="318"/>
      <c r="ACF3" s="318"/>
      <c r="ACG3" s="318"/>
      <c r="ACH3" s="318"/>
      <c r="ACI3" s="318"/>
      <c r="ACJ3" s="318"/>
      <c r="ACK3" s="318"/>
      <c r="ACL3" s="318"/>
      <c r="ACM3" s="318"/>
      <c r="ACN3" s="318"/>
      <c r="ACO3" s="318"/>
      <c r="ACP3" s="318"/>
      <c r="ACQ3" s="318"/>
      <c r="ACR3" s="318"/>
      <c r="ACS3" s="318"/>
      <c r="ACT3" s="318"/>
      <c r="ACU3" s="318"/>
      <c r="ACV3" s="318"/>
      <c r="ACW3" s="318"/>
      <c r="ACX3" s="318"/>
      <c r="ACY3" s="318"/>
      <c r="ACZ3" s="318"/>
      <c r="ADA3" s="318"/>
      <c r="ADB3" s="318"/>
      <c r="ADC3" s="318"/>
      <c r="ADD3" s="318"/>
      <c r="ADE3" s="318"/>
      <c r="ADF3" s="318"/>
      <c r="ADG3" s="318"/>
      <c r="ADH3" s="318"/>
      <c r="ADI3" s="318"/>
      <c r="ADJ3" s="318"/>
      <c r="ADK3" s="318"/>
      <c r="ADL3" s="318"/>
      <c r="ADM3" s="318"/>
      <c r="ADN3" s="318"/>
      <c r="ADO3" s="318"/>
      <c r="ADP3" s="318"/>
      <c r="ADQ3" s="318"/>
      <c r="ADR3" s="318"/>
      <c r="ADS3" s="318"/>
      <c r="ADT3" s="318"/>
      <c r="ADU3" s="318"/>
      <c r="ADV3" s="318"/>
      <c r="ADW3" s="318"/>
      <c r="ADX3" s="318"/>
      <c r="ADY3" s="318"/>
      <c r="ADZ3" s="318"/>
      <c r="AEA3" s="318"/>
      <c r="AEB3" s="318"/>
      <c r="AEC3" s="318"/>
      <c r="AED3" s="318"/>
      <c r="AEE3" s="318"/>
      <c r="AEF3" s="318"/>
      <c r="AEG3" s="318"/>
      <c r="AEH3" s="318"/>
      <c r="AEI3" s="318"/>
      <c r="AEJ3" s="318"/>
      <c r="AEK3" s="318"/>
      <c r="AEL3" s="318"/>
      <c r="AEM3" s="318"/>
      <c r="AEN3" s="318"/>
      <c r="AEO3" s="318"/>
      <c r="AEP3" s="318"/>
      <c r="AEQ3" s="318"/>
      <c r="AER3" s="318"/>
      <c r="AES3" s="318"/>
      <c r="AET3" s="318"/>
      <c r="AEU3" s="318"/>
      <c r="AEV3" s="318"/>
      <c r="AEW3" s="318"/>
      <c r="AEX3" s="318"/>
      <c r="AEY3" s="318"/>
      <c r="AEZ3" s="318"/>
      <c r="AFA3" s="318"/>
      <c r="AFB3" s="318"/>
      <c r="AFC3" s="318"/>
      <c r="AFD3" s="318"/>
      <c r="AFE3" s="318"/>
      <c r="AFF3" s="318"/>
      <c r="AFG3" s="318"/>
      <c r="AFH3" s="318"/>
      <c r="AFI3" s="318"/>
      <c r="AFJ3" s="318"/>
      <c r="AFK3" s="318"/>
      <c r="AFL3" s="318"/>
      <c r="AFM3" s="318"/>
      <c r="AFN3" s="318"/>
      <c r="AFO3" s="318"/>
      <c r="AFP3" s="318"/>
      <c r="AFQ3" s="318"/>
      <c r="AFR3" s="318"/>
      <c r="AFS3" s="318"/>
      <c r="AFT3" s="318"/>
      <c r="AFU3" s="318"/>
      <c r="AFV3" s="318"/>
      <c r="AFW3" s="318"/>
      <c r="AFX3" s="318"/>
      <c r="AFY3" s="318"/>
      <c r="AFZ3" s="318"/>
      <c r="AGA3" s="318"/>
      <c r="AGB3" s="318"/>
      <c r="AGC3" s="318"/>
      <c r="AGD3" s="318"/>
      <c r="AGE3" s="318"/>
      <c r="AGF3" s="318"/>
      <c r="AGG3" s="318"/>
      <c r="AGH3" s="318"/>
      <c r="AGI3" s="318"/>
      <c r="AGJ3" s="318"/>
      <c r="AGK3" s="318"/>
      <c r="AGL3" s="318"/>
      <c r="AGM3" s="318"/>
      <c r="AGN3" s="318"/>
      <c r="AGO3" s="318"/>
      <c r="AGP3" s="318"/>
      <c r="AGQ3" s="318"/>
      <c r="AGR3" s="318"/>
      <c r="AGS3" s="318"/>
      <c r="AGT3" s="318"/>
      <c r="AGU3" s="318"/>
      <c r="AGV3" s="318"/>
      <c r="AGW3" s="318"/>
      <c r="AGX3" s="318"/>
      <c r="AGY3" s="318"/>
      <c r="AGZ3" s="318"/>
      <c r="AHA3" s="318"/>
      <c r="AHB3" s="318"/>
      <c r="AHC3" s="318"/>
      <c r="AHD3" s="318"/>
      <c r="AHE3" s="318"/>
      <c r="AHF3" s="318"/>
      <c r="AHG3" s="318"/>
      <c r="AHH3" s="318"/>
      <c r="AHI3" s="318"/>
      <c r="AHJ3" s="318"/>
      <c r="AHK3" s="318"/>
      <c r="AHL3" s="318"/>
      <c r="AHM3" s="318"/>
      <c r="AHN3" s="318"/>
      <c r="AHO3" s="318"/>
      <c r="AHP3" s="318"/>
      <c r="AHQ3" s="318"/>
      <c r="AHR3" s="318"/>
      <c r="AHS3" s="318"/>
      <c r="AHT3" s="318"/>
      <c r="AHU3" s="318"/>
      <c r="AHV3" s="318"/>
      <c r="AHW3" s="318"/>
      <c r="AHX3" s="318"/>
      <c r="AHY3" s="318"/>
      <c r="AHZ3" s="318"/>
      <c r="AIA3" s="318"/>
      <c r="AIB3" s="318"/>
      <c r="AIC3" s="318"/>
      <c r="AID3" s="318"/>
      <c r="AIE3" s="318"/>
      <c r="AIF3" s="318"/>
      <c r="AIG3" s="318"/>
      <c r="AIH3" s="318"/>
      <c r="AII3" s="318"/>
      <c r="AIJ3" s="318"/>
      <c r="AIK3" s="318"/>
      <c r="AIL3" s="318"/>
      <c r="AIM3" s="318"/>
      <c r="AIN3" s="318"/>
      <c r="AIO3" s="318"/>
      <c r="AIP3" s="318"/>
      <c r="AIQ3" s="318"/>
      <c r="AIR3" s="318"/>
      <c r="AIS3" s="318"/>
      <c r="AIT3" s="318"/>
      <c r="AIU3" s="318"/>
      <c r="AIV3" s="318"/>
      <c r="AIW3" s="318"/>
      <c r="AIX3" s="318"/>
      <c r="AIY3" s="318"/>
      <c r="AIZ3" s="318"/>
      <c r="AJA3" s="318"/>
      <c r="AJB3" s="318"/>
      <c r="AJC3" s="318"/>
      <c r="AJD3" s="318"/>
      <c r="AJE3" s="318"/>
      <c r="AJF3" s="318"/>
      <c r="AJG3" s="318"/>
      <c r="AJH3" s="318"/>
      <c r="AJI3" s="318"/>
      <c r="AJJ3" s="318"/>
      <c r="AJK3" s="318"/>
      <c r="AJL3" s="318"/>
      <c r="AJM3" s="318"/>
      <c r="AJN3" s="318"/>
      <c r="AJO3" s="318"/>
      <c r="AJP3" s="318"/>
      <c r="AJQ3" s="318"/>
      <c r="AJR3" s="318"/>
      <c r="AJS3" s="318"/>
      <c r="AJT3" s="318"/>
      <c r="AJU3" s="318"/>
      <c r="AJV3" s="318"/>
      <c r="AJW3" s="318"/>
      <c r="AJX3" s="318"/>
      <c r="AJY3" s="318"/>
      <c r="AJZ3" s="318"/>
      <c r="AKA3" s="318"/>
      <c r="AKB3" s="318"/>
      <c r="AKC3" s="318"/>
      <c r="AKD3" s="318"/>
      <c r="AKE3" s="318"/>
      <c r="AKF3" s="318"/>
      <c r="AKG3" s="318"/>
      <c r="AKH3" s="318"/>
      <c r="AKI3" s="318"/>
      <c r="AKJ3" s="318"/>
      <c r="AKK3" s="318"/>
      <c r="AKL3" s="318"/>
      <c r="AKM3" s="318"/>
      <c r="AKN3" s="318"/>
      <c r="AKO3" s="318"/>
      <c r="AKP3" s="318"/>
      <c r="AKQ3" s="318"/>
      <c r="AKR3" s="318"/>
      <c r="AKS3" s="318"/>
      <c r="AKT3" s="318"/>
      <c r="AKU3" s="318"/>
      <c r="AKV3" s="318"/>
      <c r="AKW3" s="318"/>
      <c r="AKX3" s="318"/>
      <c r="AKY3" s="318"/>
      <c r="AKZ3" s="318"/>
      <c r="ALA3" s="318"/>
      <c r="ALB3" s="318"/>
      <c r="ALC3" s="318"/>
    </row>
    <row r="4" spans="1:991" ht="14.25" customHeight="1" x14ac:dyDescent="0.25">
      <c r="A4" s="318"/>
      <c r="B4" s="319"/>
      <c r="C4" s="329"/>
      <c r="D4" s="318"/>
      <c r="E4" s="330"/>
      <c r="F4" s="331"/>
      <c r="G4" s="331"/>
      <c r="H4" s="331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  <c r="AC4" s="332"/>
      <c r="AD4" s="332"/>
      <c r="AE4" s="332"/>
      <c r="AF4" s="332"/>
      <c r="AG4" s="332"/>
      <c r="AH4" s="332"/>
      <c r="AI4" s="332"/>
      <c r="AJ4" s="332"/>
      <c r="AK4" s="332"/>
      <c r="AL4" s="332"/>
      <c r="AM4" s="332"/>
      <c r="AN4" s="332"/>
      <c r="AO4" s="332"/>
      <c r="AP4" s="332"/>
      <c r="AQ4" s="332"/>
      <c r="AR4" s="332"/>
      <c r="AS4" s="332"/>
      <c r="AT4" s="332"/>
      <c r="AU4" s="332"/>
      <c r="AV4" s="332"/>
      <c r="AW4" s="332"/>
      <c r="AX4" s="332"/>
      <c r="AY4" s="332"/>
      <c r="AZ4" s="332"/>
      <c r="BA4" s="332"/>
      <c r="BB4" s="332"/>
      <c r="BC4" s="318"/>
      <c r="BD4" s="318"/>
      <c r="BE4" s="318"/>
      <c r="BF4" s="318"/>
      <c r="BG4" s="318"/>
      <c r="BH4" s="318"/>
      <c r="BI4" s="318"/>
      <c r="BJ4" s="318"/>
      <c r="BK4" s="318"/>
      <c r="BL4" s="318"/>
      <c r="BM4" s="318"/>
      <c r="BN4" s="318"/>
      <c r="BO4" s="318"/>
      <c r="BP4" s="318"/>
      <c r="BQ4" s="318"/>
      <c r="BR4" s="318"/>
      <c r="BS4" s="318"/>
      <c r="BT4" s="318"/>
      <c r="BU4" s="318"/>
      <c r="BV4" s="318"/>
      <c r="BW4" s="318"/>
      <c r="BX4" s="318"/>
      <c r="BY4" s="318"/>
      <c r="BZ4" s="318"/>
      <c r="CA4" s="318"/>
      <c r="CB4" s="318"/>
      <c r="CC4" s="318"/>
      <c r="CD4" s="318"/>
      <c r="CE4" s="318"/>
      <c r="CF4" s="318"/>
      <c r="CG4" s="318"/>
      <c r="CH4" s="318"/>
      <c r="CI4" s="318"/>
      <c r="CJ4" s="318"/>
      <c r="CK4" s="318"/>
      <c r="CL4" s="318"/>
      <c r="CM4" s="318"/>
      <c r="CN4" s="318"/>
      <c r="CO4" s="318"/>
      <c r="CP4" s="318"/>
      <c r="CQ4" s="318"/>
      <c r="CR4" s="318"/>
      <c r="CS4" s="318"/>
      <c r="CT4" s="318"/>
      <c r="CU4" s="318"/>
      <c r="CV4" s="318"/>
      <c r="CW4" s="318"/>
      <c r="CX4" s="318"/>
      <c r="CY4" s="318"/>
      <c r="CZ4" s="318"/>
      <c r="DA4" s="318"/>
      <c r="DB4" s="318"/>
      <c r="DC4" s="318"/>
      <c r="DD4" s="318"/>
      <c r="DE4" s="318"/>
      <c r="DF4" s="318"/>
      <c r="DG4" s="318"/>
      <c r="DH4" s="318"/>
      <c r="DI4" s="318"/>
      <c r="DJ4" s="318"/>
      <c r="DK4" s="318"/>
      <c r="DL4" s="318"/>
      <c r="DM4" s="318"/>
      <c r="DN4" s="318"/>
      <c r="DO4" s="318"/>
      <c r="DP4" s="318"/>
      <c r="DQ4" s="318"/>
      <c r="DR4" s="318"/>
      <c r="DS4" s="318"/>
      <c r="DT4" s="318"/>
      <c r="DU4" s="318"/>
      <c r="DV4" s="318"/>
      <c r="DW4" s="318"/>
      <c r="DX4" s="318"/>
      <c r="DY4" s="318"/>
      <c r="DZ4" s="318"/>
      <c r="EA4" s="318"/>
      <c r="EB4" s="318"/>
      <c r="EC4" s="318"/>
      <c r="ED4" s="318"/>
      <c r="EE4" s="318"/>
      <c r="EF4" s="318"/>
      <c r="EG4" s="318"/>
      <c r="EH4" s="318"/>
      <c r="EI4" s="318"/>
      <c r="EJ4" s="318"/>
      <c r="EK4" s="318"/>
      <c r="EL4" s="318"/>
      <c r="EM4" s="318"/>
      <c r="EN4" s="318"/>
      <c r="EO4" s="318"/>
      <c r="EP4" s="318"/>
      <c r="EQ4" s="318"/>
      <c r="ER4" s="318"/>
      <c r="ES4" s="318"/>
      <c r="ET4" s="318"/>
      <c r="EU4" s="318"/>
      <c r="EV4" s="318"/>
      <c r="EW4" s="318"/>
      <c r="EX4" s="318"/>
      <c r="EY4" s="318"/>
      <c r="EZ4" s="318"/>
      <c r="FA4" s="318"/>
      <c r="FB4" s="318"/>
      <c r="FC4" s="318"/>
      <c r="FD4" s="318"/>
      <c r="FE4" s="318"/>
      <c r="FF4" s="318"/>
      <c r="FG4" s="318"/>
      <c r="FH4" s="318"/>
      <c r="FI4" s="318"/>
      <c r="FJ4" s="318"/>
      <c r="FK4" s="318"/>
      <c r="FL4" s="318"/>
      <c r="FM4" s="318"/>
      <c r="FN4" s="318"/>
      <c r="FO4" s="318"/>
      <c r="FP4" s="318"/>
      <c r="FQ4" s="318"/>
      <c r="FR4" s="318"/>
      <c r="FS4" s="318"/>
      <c r="FT4" s="318"/>
      <c r="FU4" s="318"/>
      <c r="FV4" s="318"/>
      <c r="FW4" s="318"/>
      <c r="FX4" s="318"/>
      <c r="FY4" s="318"/>
      <c r="FZ4" s="318"/>
      <c r="GA4" s="318"/>
      <c r="GB4" s="318"/>
      <c r="GC4" s="318"/>
      <c r="GD4" s="318"/>
      <c r="GE4" s="318"/>
      <c r="GF4" s="318"/>
      <c r="GG4" s="318"/>
      <c r="GH4" s="318"/>
      <c r="GI4" s="318"/>
      <c r="GJ4" s="318"/>
      <c r="GK4" s="318"/>
      <c r="GL4" s="318"/>
      <c r="GM4" s="318"/>
      <c r="GN4" s="318"/>
      <c r="GO4" s="318"/>
      <c r="GP4" s="318"/>
      <c r="GQ4" s="318"/>
      <c r="GR4" s="318"/>
      <c r="GS4" s="318"/>
      <c r="GT4" s="318"/>
      <c r="GU4" s="318"/>
      <c r="GV4" s="318"/>
      <c r="GW4" s="318"/>
      <c r="GX4" s="318"/>
      <c r="GY4" s="318"/>
      <c r="GZ4" s="318"/>
      <c r="HA4" s="318"/>
      <c r="HB4" s="318"/>
      <c r="HC4" s="318"/>
      <c r="HD4" s="318"/>
      <c r="HE4" s="318"/>
      <c r="HF4" s="318"/>
      <c r="HG4" s="318"/>
      <c r="HH4" s="318"/>
      <c r="HI4" s="318"/>
      <c r="HJ4" s="318"/>
      <c r="HK4" s="318"/>
      <c r="HL4" s="318"/>
      <c r="HM4" s="318"/>
      <c r="HN4" s="318"/>
      <c r="HO4" s="318"/>
      <c r="HP4" s="318"/>
      <c r="HQ4" s="318"/>
      <c r="HR4" s="318"/>
      <c r="HS4" s="318"/>
      <c r="HT4" s="318"/>
      <c r="HU4" s="318"/>
      <c r="HV4" s="318"/>
      <c r="HW4" s="318"/>
      <c r="HX4" s="318"/>
      <c r="HY4" s="318"/>
      <c r="HZ4" s="318"/>
      <c r="IA4" s="318"/>
      <c r="IB4" s="318"/>
      <c r="IC4" s="318"/>
      <c r="ID4" s="318"/>
      <c r="IE4" s="318"/>
      <c r="IF4" s="318"/>
      <c r="IG4" s="318"/>
      <c r="IH4" s="318"/>
      <c r="II4" s="318"/>
      <c r="IJ4" s="318"/>
      <c r="IK4" s="318"/>
      <c r="IL4" s="318"/>
      <c r="IM4" s="318"/>
      <c r="IN4" s="318"/>
      <c r="IO4" s="318"/>
      <c r="IP4" s="318"/>
      <c r="IQ4" s="318"/>
      <c r="IR4" s="318"/>
      <c r="IS4" s="318"/>
      <c r="IT4" s="318"/>
      <c r="IU4" s="318"/>
      <c r="IV4" s="318"/>
      <c r="IW4" s="318"/>
      <c r="IX4" s="318"/>
      <c r="IY4" s="318"/>
      <c r="IZ4" s="318"/>
      <c r="JA4" s="318"/>
      <c r="JB4" s="318"/>
      <c r="JC4" s="318"/>
      <c r="JD4" s="318"/>
      <c r="JE4" s="318"/>
      <c r="JF4" s="318"/>
      <c r="JG4" s="318"/>
      <c r="JH4" s="318"/>
      <c r="JI4" s="318"/>
      <c r="JJ4" s="318"/>
      <c r="JK4" s="318"/>
      <c r="JL4" s="318"/>
      <c r="JM4" s="318"/>
      <c r="JN4" s="318"/>
      <c r="JO4" s="318"/>
      <c r="JP4" s="318"/>
      <c r="JQ4" s="318"/>
      <c r="JR4" s="318"/>
      <c r="JS4" s="318"/>
      <c r="JT4" s="318"/>
      <c r="JU4" s="318"/>
      <c r="JV4" s="318"/>
      <c r="JW4" s="318"/>
      <c r="JX4" s="318"/>
      <c r="JY4" s="318"/>
      <c r="JZ4" s="318"/>
      <c r="KA4" s="318"/>
      <c r="KB4" s="318"/>
      <c r="KC4" s="318"/>
      <c r="KD4" s="318"/>
      <c r="KE4" s="318"/>
      <c r="KF4" s="318"/>
      <c r="KG4" s="318"/>
      <c r="KH4" s="318"/>
      <c r="KI4" s="318"/>
      <c r="KJ4" s="318"/>
      <c r="KK4" s="318"/>
      <c r="KL4" s="318"/>
      <c r="KM4" s="318"/>
      <c r="KN4" s="318"/>
      <c r="KO4" s="318"/>
      <c r="KP4" s="318"/>
      <c r="KQ4" s="318"/>
      <c r="KR4" s="318"/>
      <c r="KS4" s="318"/>
      <c r="KT4" s="318"/>
      <c r="KU4" s="318"/>
      <c r="KV4" s="318"/>
      <c r="KW4" s="318"/>
      <c r="KX4" s="318"/>
      <c r="KY4" s="318"/>
      <c r="KZ4" s="318"/>
      <c r="LA4" s="318"/>
      <c r="LB4" s="318"/>
      <c r="LC4" s="318"/>
      <c r="LD4" s="318"/>
      <c r="LE4" s="318"/>
      <c r="LF4" s="318"/>
      <c r="LG4" s="318"/>
      <c r="LH4" s="318"/>
      <c r="LI4" s="318"/>
      <c r="LJ4" s="318"/>
      <c r="LK4" s="318"/>
      <c r="LL4" s="318"/>
      <c r="LM4" s="318"/>
      <c r="LN4" s="318"/>
      <c r="LO4" s="318"/>
      <c r="LP4" s="318"/>
      <c r="LQ4" s="318"/>
      <c r="LR4" s="318"/>
      <c r="LS4" s="318"/>
      <c r="LT4" s="318"/>
      <c r="LU4" s="318"/>
      <c r="LV4" s="318"/>
      <c r="LW4" s="318"/>
      <c r="LX4" s="318"/>
      <c r="LY4" s="318"/>
      <c r="LZ4" s="318"/>
      <c r="MA4" s="318"/>
      <c r="MB4" s="318"/>
      <c r="MC4" s="318"/>
      <c r="MD4" s="318"/>
      <c r="ME4" s="318"/>
      <c r="MF4" s="318"/>
      <c r="MG4" s="318"/>
      <c r="MH4" s="318"/>
      <c r="MI4" s="318"/>
      <c r="MJ4" s="318"/>
      <c r="MK4" s="318"/>
      <c r="ML4" s="318"/>
      <c r="MM4" s="318"/>
      <c r="MN4" s="318"/>
      <c r="MO4" s="318"/>
      <c r="MP4" s="318"/>
      <c r="MQ4" s="318"/>
      <c r="MR4" s="318"/>
      <c r="MS4" s="318"/>
      <c r="MT4" s="318"/>
      <c r="MU4" s="318"/>
      <c r="MV4" s="318"/>
      <c r="MW4" s="318"/>
      <c r="MX4" s="318"/>
      <c r="MY4" s="318"/>
      <c r="MZ4" s="318"/>
      <c r="NA4" s="318"/>
      <c r="NB4" s="318"/>
      <c r="NC4" s="318"/>
      <c r="ND4" s="318"/>
      <c r="NE4" s="318"/>
      <c r="NF4" s="318"/>
      <c r="NG4" s="318"/>
      <c r="NH4" s="318"/>
      <c r="NI4" s="318"/>
      <c r="NJ4" s="318"/>
      <c r="NK4" s="318"/>
      <c r="NL4" s="318"/>
      <c r="NM4" s="318"/>
      <c r="NN4" s="318"/>
      <c r="NO4" s="318"/>
      <c r="NP4" s="318"/>
      <c r="NQ4" s="318"/>
      <c r="NR4" s="318"/>
      <c r="NS4" s="318"/>
      <c r="NT4" s="318"/>
      <c r="NU4" s="318"/>
      <c r="NV4" s="318"/>
      <c r="NW4" s="318"/>
      <c r="NX4" s="318"/>
      <c r="NY4" s="318"/>
      <c r="NZ4" s="318"/>
      <c r="OA4" s="318"/>
      <c r="OB4" s="318"/>
      <c r="OC4" s="318"/>
      <c r="OD4" s="318"/>
      <c r="OE4" s="318"/>
      <c r="OF4" s="318"/>
      <c r="OG4" s="318"/>
      <c r="OH4" s="318"/>
      <c r="OI4" s="318"/>
      <c r="OJ4" s="318"/>
      <c r="OK4" s="318"/>
      <c r="OL4" s="318"/>
      <c r="OM4" s="318"/>
      <c r="ON4" s="318"/>
      <c r="OO4" s="318"/>
      <c r="OP4" s="318"/>
      <c r="OQ4" s="318"/>
      <c r="OR4" s="318"/>
      <c r="OS4" s="318"/>
      <c r="OT4" s="318"/>
      <c r="OU4" s="318"/>
      <c r="OV4" s="318"/>
      <c r="OW4" s="318"/>
      <c r="OX4" s="318"/>
      <c r="OY4" s="318"/>
      <c r="OZ4" s="318"/>
      <c r="PA4" s="318"/>
      <c r="PB4" s="318"/>
      <c r="PC4" s="318"/>
      <c r="PD4" s="318"/>
      <c r="PE4" s="318"/>
      <c r="PF4" s="318"/>
      <c r="PG4" s="318"/>
      <c r="PH4" s="318"/>
      <c r="PI4" s="318"/>
      <c r="PJ4" s="318"/>
      <c r="PK4" s="318"/>
      <c r="PL4" s="318"/>
      <c r="PM4" s="318"/>
      <c r="PN4" s="318"/>
      <c r="PO4" s="318"/>
      <c r="PP4" s="318"/>
      <c r="PQ4" s="318"/>
      <c r="PR4" s="318"/>
      <c r="PS4" s="318"/>
      <c r="PT4" s="318"/>
      <c r="PU4" s="318"/>
      <c r="PV4" s="318"/>
      <c r="PW4" s="318"/>
      <c r="PX4" s="318"/>
      <c r="PY4" s="318"/>
      <c r="PZ4" s="318"/>
      <c r="QA4" s="318"/>
      <c r="QB4" s="318"/>
      <c r="QC4" s="318"/>
      <c r="QD4" s="318"/>
      <c r="QE4" s="318"/>
      <c r="QF4" s="318"/>
      <c r="QG4" s="318"/>
      <c r="QH4" s="318"/>
      <c r="QI4" s="318"/>
      <c r="QJ4" s="318"/>
      <c r="QK4" s="318"/>
      <c r="QL4" s="318"/>
      <c r="QM4" s="318"/>
      <c r="QN4" s="318"/>
      <c r="QO4" s="318"/>
      <c r="QP4" s="318"/>
      <c r="QQ4" s="318"/>
      <c r="QR4" s="318"/>
      <c r="QS4" s="318"/>
      <c r="QT4" s="318"/>
      <c r="QU4" s="318"/>
      <c r="QV4" s="318"/>
      <c r="QW4" s="318"/>
      <c r="QX4" s="318"/>
      <c r="QY4" s="318"/>
      <c r="QZ4" s="318"/>
      <c r="RA4" s="318"/>
      <c r="RB4" s="318"/>
      <c r="RC4" s="318"/>
      <c r="RD4" s="318"/>
      <c r="RE4" s="318"/>
      <c r="RF4" s="318"/>
      <c r="RG4" s="318"/>
      <c r="RH4" s="318"/>
      <c r="RI4" s="318"/>
      <c r="RJ4" s="318"/>
      <c r="RK4" s="318"/>
      <c r="RL4" s="318"/>
      <c r="RM4" s="318"/>
      <c r="RN4" s="318"/>
      <c r="RO4" s="318"/>
      <c r="RP4" s="318"/>
      <c r="RQ4" s="318"/>
      <c r="RR4" s="318"/>
      <c r="RS4" s="318"/>
      <c r="RT4" s="318"/>
      <c r="RU4" s="318"/>
      <c r="RV4" s="318"/>
      <c r="RW4" s="318"/>
      <c r="RX4" s="318"/>
      <c r="RY4" s="318"/>
      <c r="RZ4" s="318"/>
      <c r="SA4" s="318"/>
      <c r="SB4" s="318"/>
      <c r="SC4" s="318"/>
      <c r="SD4" s="318"/>
      <c r="SE4" s="318"/>
      <c r="SF4" s="318"/>
      <c r="SG4" s="318"/>
      <c r="SH4" s="318"/>
      <c r="SI4" s="318"/>
      <c r="SJ4" s="318"/>
      <c r="SK4" s="318"/>
      <c r="SL4" s="318"/>
      <c r="SM4" s="318"/>
      <c r="SN4" s="318"/>
      <c r="SO4" s="318"/>
      <c r="SP4" s="318"/>
      <c r="SQ4" s="318"/>
      <c r="SR4" s="318"/>
      <c r="SS4" s="318"/>
      <c r="ST4" s="318"/>
      <c r="SU4" s="318"/>
      <c r="SV4" s="318"/>
      <c r="SW4" s="318"/>
      <c r="SX4" s="318"/>
      <c r="SY4" s="318"/>
      <c r="SZ4" s="318"/>
      <c r="TA4" s="318"/>
      <c r="TB4" s="318"/>
      <c r="TC4" s="318"/>
      <c r="TD4" s="318"/>
      <c r="TE4" s="318"/>
      <c r="TF4" s="318"/>
      <c r="TG4" s="318"/>
      <c r="TH4" s="318"/>
      <c r="TI4" s="318"/>
      <c r="TJ4" s="318"/>
      <c r="TK4" s="318"/>
      <c r="TL4" s="318"/>
      <c r="TM4" s="318"/>
      <c r="TN4" s="318"/>
      <c r="TO4" s="318"/>
      <c r="TP4" s="318"/>
      <c r="TQ4" s="318"/>
      <c r="TR4" s="318"/>
      <c r="TS4" s="318"/>
      <c r="TT4" s="318"/>
      <c r="TU4" s="318"/>
      <c r="TV4" s="318"/>
      <c r="TW4" s="318"/>
      <c r="TX4" s="318"/>
      <c r="TY4" s="318"/>
      <c r="TZ4" s="318"/>
      <c r="UA4" s="318"/>
      <c r="UB4" s="318"/>
      <c r="UC4" s="318"/>
      <c r="UD4" s="318"/>
      <c r="UE4" s="318"/>
      <c r="UF4" s="318"/>
      <c r="UG4" s="318"/>
      <c r="UH4" s="318"/>
      <c r="UI4" s="318"/>
      <c r="UJ4" s="318"/>
      <c r="UK4" s="318"/>
      <c r="UL4" s="318"/>
      <c r="UM4" s="318"/>
      <c r="UN4" s="318"/>
      <c r="UO4" s="318"/>
      <c r="UP4" s="318"/>
      <c r="UQ4" s="318"/>
      <c r="UR4" s="318"/>
      <c r="US4" s="318"/>
      <c r="UT4" s="318"/>
      <c r="UU4" s="318"/>
      <c r="UV4" s="318"/>
      <c r="UW4" s="318"/>
      <c r="UX4" s="318"/>
      <c r="UY4" s="318"/>
      <c r="UZ4" s="318"/>
      <c r="VA4" s="318"/>
      <c r="VB4" s="318"/>
      <c r="VC4" s="318"/>
      <c r="VD4" s="318"/>
      <c r="VE4" s="318"/>
      <c r="VF4" s="318"/>
      <c r="VG4" s="318"/>
      <c r="VH4" s="318"/>
      <c r="VI4" s="318"/>
      <c r="VJ4" s="318"/>
      <c r="VK4" s="318"/>
      <c r="VL4" s="318"/>
      <c r="VM4" s="318"/>
      <c r="VN4" s="318"/>
      <c r="VO4" s="318"/>
      <c r="VP4" s="318"/>
      <c r="VQ4" s="318"/>
      <c r="VR4" s="318"/>
      <c r="VS4" s="318"/>
      <c r="VT4" s="318"/>
      <c r="VU4" s="318"/>
      <c r="VV4" s="318"/>
      <c r="VW4" s="318"/>
      <c r="VX4" s="318"/>
      <c r="VY4" s="318"/>
      <c r="VZ4" s="318"/>
      <c r="WA4" s="318"/>
      <c r="WB4" s="318"/>
      <c r="WC4" s="318"/>
      <c r="WD4" s="318"/>
      <c r="WE4" s="318"/>
      <c r="WF4" s="318"/>
      <c r="WG4" s="318"/>
      <c r="WH4" s="318"/>
      <c r="WI4" s="318"/>
      <c r="WJ4" s="318"/>
      <c r="WK4" s="318"/>
      <c r="WL4" s="318"/>
      <c r="WM4" s="318"/>
      <c r="WN4" s="318"/>
      <c r="WO4" s="318"/>
      <c r="WP4" s="318"/>
      <c r="WQ4" s="318"/>
      <c r="WR4" s="318"/>
      <c r="WS4" s="318"/>
      <c r="WT4" s="318"/>
      <c r="WU4" s="318"/>
      <c r="WV4" s="318"/>
      <c r="WW4" s="318"/>
      <c r="WX4" s="318"/>
      <c r="WY4" s="318"/>
      <c r="WZ4" s="318"/>
      <c r="XA4" s="318"/>
      <c r="XB4" s="318"/>
      <c r="XC4" s="318"/>
      <c r="XD4" s="318"/>
      <c r="XE4" s="318"/>
      <c r="XF4" s="318"/>
      <c r="XG4" s="318"/>
      <c r="XH4" s="318"/>
      <c r="XI4" s="318"/>
      <c r="XJ4" s="318"/>
      <c r="XK4" s="318"/>
      <c r="XL4" s="318"/>
      <c r="XM4" s="318"/>
      <c r="XN4" s="318"/>
      <c r="XO4" s="318"/>
      <c r="XP4" s="318"/>
      <c r="XQ4" s="318"/>
      <c r="XR4" s="318"/>
      <c r="XS4" s="318"/>
      <c r="XT4" s="318"/>
      <c r="XU4" s="318"/>
      <c r="XV4" s="318"/>
      <c r="XW4" s="318"/>
      <c r="XX4" s="318"/>
      <c r="XY4" s="318"/>
      <c r="XZ4" s="318"/>
      <c r="YA4" s="318"/>
      <c r="YB4" s="318"/>
      <c r="YC4" s="318"/>
      <c r="YD4" s="318"/>
      <c r="YE4" s="318"/>
      <c r="YF4" s="318"/>
      <c r="YG4" s="318"/>
      <c r="YH4" s="318"/>
      <c r="YI4" s="318"/>
      <c r="YJ4" s="318"/>
      <c r="YK4" s="318"/>
      <c r="YL4" s="318"/>
      <c r="YM4" s="318"/>
      <c r="YN4" s="318"/>
      <c r="YO4" s="318"/>
      <c r="YP4" s="318"/>
      <c r="YQ4" s="318"/>
      <c r="YR4" s="318"/>
      <c r="YS4" s="318"/>
      <c r="YT4" s="318"/>
      <c r="YU4" s="318"/>
      <c r="YV4" s="318"/>
      <c r="YW4" s="318"/>
      <c r="YX4" s="318"/>
      <c r="YY4" s="318"/>
      <c r="YZ4" s="318"/>
      <c r="ZA4" s="318"/>
      <c r="ZB4" s="318"/>
      <c r="ZC4" s="318"/>
      <c r="ZD4" s="318"/>
      <c r="ZE4" s="318"/>
      <c r="ZF4" s="318"/>
      <c r="ZG4" s="318"/>
      <c r="ZH4" s="318"/>
      <c r="ZI4" s="318"/>
      <c r="ZJ4" s="318"/>
      <c r="ZK4" s="318"/>
      <c r="ZL4" s="318"/>
      <c r="ZM4" s="318"/>
      <c r="ZN4" s="318"/>
      <c r="ZO4" s="318"/>
      <c r="ZP4" s="318"/>
      <c r="ZQ4" s="318"/>
      <c r="ZR4" s="318"/>
      <c r="ZS4" s="318"/>
      <c r="ZT4" s="318"/>
      <c r="ZU4" s="318"/>
      <c r="ZV4" s="318"/>
      <c r="ZW4" s="318"/>
      <c r="ZX4" s="318"/>
      <c r="ZY4" s="318"/>
      <c r="ZZ4" s="318"/>
      <c r="AAA4" s="318"/>
      <c r="AAB4" s="318"/>
      <c r="AAC4" s="318"/>
      <c r="AAD4" s="318"/>
      <c r="AAE4" s="318"/>
      <c r="AAF4" s="318"/>
      <c r="AAG4" s="318"/>
      <c r="AAH4" s="318"/>
      <c r="AAI4" s="318"/>
      <c r="AAJ4" s="318"/>
      <c r="AAK4" s="318"/>
      <c r="AAL4" s="318"/>
      <c r="AAM4" s="318"/>
      <c r="AAN4" s="318"/>
      <c r="AAO4" s="318"/>
      <c r="AAP4" s="318"/>
      <c r="AAQ4" s="318"/>
      <c r="AAR4" s="318"/>
      <c r="AAS4" s="318"/>
      <c r="AAT4" s="318"/>
      <c r="AAU4" s="318"/>
      <c r="AAV4" s="318"/>
      <c r="AAW4" s="318"/>
      <c r="AAX4" s="318"/>
      <c r="AAY4" s="318"/>
      <c r="AAZ4" s="318"/>
      <c r="ABA4" s="318"/>
      <c r="ABB4" s="318"/>
      <c r="ABC4" s="318"/>
      <c r="ABD4" s="318"/>
      <c r="ABE4" s="318"/>
      <c r="ABF4" s="318"/>
      <c r="ABG4" s="318"/>
      <c r="ABH4" s="318"/>
      <c r="ABI4" s="318"/>
      <c r="ABJ4" s="318"/>
      <c r="ABK4" s="318"/>
      <c r="ABL4" s="318"/>
      <c r="ABM4" s="318"/>
      <c r="ABN4" s="318"/>
      <c r="ABO4" s="318"/>
      <c r="ABP4" s="318"/>
      <c r="ABQ4" s="318"/>
      <c r="ABR4" s="318"/>
      <c r="ABS4" s="318"/>
      <c r="ABT4" s="318"/>
      <c r="ABU4" s="318"/>
      <c r="ABV4" s="318"/>
      <c r="ABW4" s="318"/>
      <c r="ABX4" s="318"/>
      <c r="ABY4" s="318"/>
      <c r="ABZ4" s="318"/>
      <c r="ACA4" s="318"/>
      <c r="ACB4" s="318"/>
      <c r="ACC4" s="318"/>
      <c r="ACD4" s="318"/>
      <c r="ACE4" s="318"/>
      <c r="ACF4" s="318"/>
      <c r="ACG4" s="318"/>
      <c r="ACH4" s="318"/>
      <c r="ACI4" s="318"/>
      <c r="ACJ4" s="318"/>
      <c r="ACK4" s="318"/>
      <c r="ACL4" s="318"/>
      <c r="ACM4" s="318"/>
      <c r="ACN4" s="318"/>
      <c r="ACO4" s="318"/>
      <c r="ACP4" s="318"/>
      <c r="ACQ4" s="318"/>
      <c r="ACR4" s="318"/>
      <c r="ACS4" s="318"/>
      <c r="ACT4" s="318"/>
      <c r="ACU4" s="318"/>
      <c r="ACV4" s="318"/>
      <c r="ACW4" s="318"/>
      <c r="ACX4" s="318"/>
      <c r="ACY4" s="318"/>
      <c r="ACZ4" s="318"/>
      <c r="ADA4" s="318"/>
      <c r="ADB4" s="318"/>
      <c r="ADC4" s="318"/>
      <c r="ADD4" s="318"/>
      <c r="ADE4" s="318"/>
      <c r="ADF4" s="318"/>
      <c r="ADG4" s="318"/>
      <c r="ADH4" s="318"/>
      <c r="ADI4" s="318"/>
      <c r="ADJ4" s="318"/>
      <c r="ADK4" s="318"/>
      <c r="ADL4" s="318"/>
      <c r="ADM4" s="318"/>
      <c r="ADN4" s="318"/>
      <c r="ADO4" s="318"/>
      <c r="ADP4" s="318"/>
      <c r="ADQ4" s="318"/>
      <c r="ADR4" s="318"/>
      <c r="ADS4" s="318"/>
      <c r="ADT4" s="318"/>
      <c r="ADU4" s="318"/>
      <c r="ADV4" s="318"/>
      <c r="ADW4" s="318"/>
      <c r="ADX4" s="318"/>
      <c r="ADY4" s="318"/>
      <c r="ADZ4" s="318"/>
      <c r="AEA4" s="318"/>
      <c r="AEB4" s="318"/>
      <c r="AEC4" s="318"/>
      <c r="AED4" s="318"/>
      <c r="AEE4" s="318"/>
      <c r="AEF4" s="318"/>
      <c r="AEG4" s="318"/>
      <c r="AEH4" s="318"/>
      <c r="AEI4" s="318"/>
      <c r="AEJ4" s="318"/>
      <c r="AEK4" s="318"/>
      <c r="AEL4" s="318"/>
      <c r="AEM4" s="318"/>
      <c r="AEN4" s="318"/>
      <c r="AEO4" s="318"/>
      <c r="AEP4" s="318"/>
      <c r="AEQ4" s="318"/>
      <c r="AER4" s="318"/>
      <c r="AES4" s="318"/>
      <c r="AET4" s="318"/>
      <c r="AEU4" s="318"/>
      <c r="AEV4" s="318"/>
      <c r="AEW4" s="318"/>
      <c r="AEX4" s="318"/>
      <c r="AEY4" s="318"/>
      <c r="AEZ4" s="318"/>
      <c r="AFA4" s="318"/>
      <c r="AFB4" s="318"/>
      <c r="AFC4" s="318"/>
      <c r="AFD4" s="318"/>
      <c r="AFE4" s="318"/>
      <c r="AFF4" s="318"/>
      <c r="AFG4" s="318"/>
      <c r="AFH4" s="318"/>
      <c r="AFI4" s="318"/>
      <c r="AFJ4" s="318"/>
      <c r="AFK4" s="318"/>
      <c r="AFL4" s="318"/>
      <c r="AFM4" s="318"/>
      <c r="AFN4" s="318"/>
      <c r="AFO4" s="318"/>
      <c r="AFP4" s="318"/>
      <c r="AFQ4" s="318"/>
      <c r="AFR4" s="318"/>
      <c r="AFS4" s="318"/>
      <c r="AFT4" s="318"/>
      <c r="AFU4" s="318"/>
      <c r="AFV4" s="318"/>
      <c r="AFW4" s="318"/>
      <c r="AFX4" s="318"/>
      <c r="AFY4" s="318"/>
      <c r="AFZ4" s="318"/>
      <c r="AGA4" s="318"/>
      <c r="AGB4" s="318"/>
      <c r="AGC4" s="318"/>
      <c r="AGD4" s="318"/>
      <c r="AGE4" s="318"/>
      <c r="AGF4" s="318"/>
      <c r="AGG4" s="318"/>
      <c r="AGH4" s="318"/>
      <c r="AGI4" s="318"/>
      <c r="AGJ4" s="318"/>
      <c r="AGK4" s="318"/>
      <c r="AGL4" s="318"/>
      <c r="AGM4" s="318"/>
      <c r="AGN4" s="318"/>
      <c r="AGO4" s="318"/>
      <c r="AGP4" s="318"/>
      <c r="AGQ4" s="318"/>
      <c r="AGR4" s="318"/>
      <c r="AGS4" s="318"/>
      <c r="AGT4" s="318"/>
      <c r="AGU4" s="318"/>
      <c r="AGV4" s="318"/>
      <c r="AGW4" s="318"/>
      <c r="AGX4" s="318"/>
      <c r="AGY4" s="318"/>
      <c r="AGZ4" s="318"/>
      <c r="AHA4" s="318"/>
      <c r="AHB4" s="318"/>
      <c r="AHC4" s="318"/>
      <c r="AHD4" s="318"/>
      <c r="AHE4" s="318"/>
      <c r="AHF4" s="318"/>
      <c r="AHG4" s="318"/>
      <c r="AHH4" s="318"/>
      <c r="AHI4" s="318"/>
      <c r="AHJ4" s="318"/>
      <c r="AHK4" s="318"/>
      <c r="AHL4" s="318"/>
      <c r="AHM4" s="318"/>
      <c r="AHN4" s="318"/>
      <c r="AHO4" s="318"/>
      <c r="AHP4" s="318"/>
      <c r="AHQ4" s="318"/>
      <c r="AHR4" s="318"/>
      <c r="AHS4" s="318"/>
      <c r="AHT4" s="318"/>
      <c r="AHU4" s="318"/>
      <c r="AHV4" s="318"/>
      <c r="AHW4" s="318"/>
      <c r="AHX4" s="318"/>
      <c r="AHY4" s="318"/>
      <c r="AHZ4" s="318"/>
      <c r="AIA4" s="318"/>
      <c r="AIB4" s="318"/>
      <c r="AIC4" s="318"/>
      <c r="AID4" s="318"/>
      <c r="AIE4" s="318"/>
      <c r="AIF4" s="318"/>
      <c r="AIG4" s="318"/>
      <c r="AIH4" s="318"/>
      <c r="AII4" s="318"/>
      <c r="AIJ4" s="318"/>
      <c r="AIK4" s="318"/>
      <c r="AIL4" s="318"/>
      <c r="AIM4" s="318"/>
      <c r="AIN4" s="318"/>
      <c r="AIO4" s="318"/>
      <c r="AIP4" s="318"/>
      <c r="AIQ4" s="318"/>
      <c r="AIR4" s="318"/>
      <c r="AIS4" s="318"/>
      <c r="AIT4" s="318"/>
      <c r="AIU4" s="318"/>
      <c r="AIV4" s="318"/>
      <c r="AIW4" s="318"/>
      <c r="AIX4" s="318"/>
      <c r="AIY4" s="318"/>
      <c r="AIZ4" s="318"/>
      <c r="AJA4" s="318"/>
      <c r="AJB4" s="318"/>
      <c r="AJC4" s="318"/>
      <c r="AJD4" s="318"/>
      <c r="AJE4" s="318"/>
      <c r="AJF4" s="318"/>
      <c r="AJG4" s="318"/>
      <c r="AJH4" s="318"/>
      <c r="AJI4" s="318"/>
      <c r="AJJ4" s="318"/>
      <c r="AJK4" s="318"/>
      <c r="AJL4" s="318"/>
      <c r="AJM4" s="318"/>
      <c r="AJN4" s="318"/>
      <c r="AJO4" s="318"/>
      <c r="AJP4" s="318"/>
      <c r="AJQ4" s="318"/>
      <c r="AJR4" s="318"/>
      <c r="AJS4" s="318"/>
      <c r="AJT4" s="318"/>
      <c r="AJU4" s="318"/>
      <c r="AJV4" s="318"/>
      <c r="AJW4" s="318"/>
      <c r="AJX4" s="318"/>
      <c r="AJY4" s="318"/>
      <c r="AJZ4" s="318"/>
      <c r="AKA4" s="318"/>
      <c r="AKB4" s="318"/>
      <c r="AKC4" s="318"/>
      <c r="AKD4" s="318"/>
      <c r="AKE4" s="318"/>
      <c r="AKF4" s="318"/>
      <c r="AKG4" s="318"/>
      <c r="AKH4" s="318"/>
      <c r="AKI4" s="318"/>
      <c r="AKJ4" s="318"/>
      <c r="AKK4" s="318"/>
      <c r="AKL4" s="318"/>
      <c r="AKM4" s="318"/>
      <c r="AKN4" s="318"/>
      <c r="AKO4" s="318"/>
      <c r="AKP4" s="318"/>
      <c r="AKQ4" s="318"/>
      <c r="AKR4" s="318"/>
      <c r="AKS4" s="318"/>
      <c r="AKT4" s="318"/>
      <c r="AKU4" s="318"/>
      <c r="AKV4" s="318"/>
      <c r="AKW4" s="318"/>
      <c r="AKX4" s="318"/>
      <c r="AKY4" s="318"/>
      <c r="AKZ4" s="318"/>
      <c r="ALA4" s="318"/>
      <c r="ALB4" s="318"/>
      <c r="ALC4" s="318"/>
    </row>
    <row r="5" spans="1:991" s="333" customFormat="1" ht="25.5" customHeight="1" thickBot="1" x14ac:dyDescent="0.25">
      <c r="B5" s="334"/>
      <c r="D5" s="335"/>
    </row>
    <row r="6" spans="1:991" ht="69" customHeight="1" thickBot="1" x14ac:dyDescent="0.3">
      <c r="A6" s="318"/>
      <c r="B6" s="319"/>
      <c r="C6" s="554" t="s">
        <v>59</v>
      </c>
      <c r="D6" s="318"/>
      <c r="E6" s="546" t="s">
        <v>60</v>
      </c>
      <c r="F6" s="546" t="s">
        <v>61</v>
      </c>
      <c r="G6" s="546" t="s">
        <v>62</v>
      </c>
      <c r="H6" s="546" t="s">
        <v>63</v>
      </c>
      <c r="I6" s="546" t="s">
        <v>64</v>
      </c>
      <c r="J6" s="546" t="s">
        <v>198</v>
      </c>
      <c r="K6" s="547" t="s">
        <v>199</v>
      </c>
      <c r="L6" s="548" t="s">
        <v>67</v>
      </c>
      <c r="M6" s="548"/>
      <c r="N6" s="548"/>
      <c r="O6" s="548"/>
      <c r="P6" s="549" t="s">
        <v>68</v>
      </c>
      <c r="Q6" s="549"/>
      <c r="R6" s="549"/>
      <c r="S6" s="336"/>
      <c r="T6" s="336"/>
      <c r="U6" s="550" t="s">
        <v>69</v>
      </c>
      <c r="V6" s="550"/>
      <c r="W6" s="550"/>
      <c r="X6" s="550"/>
      <c r="Y6" s="550"/>
      <c r="Z6" s="550"/>
      <c r="AA6" s="551" t="s">
        <v>70</v>
      </c>
      <c r="AB6" s="552"/>
      <c r="AC6" s="552"/>
      <c r="AD6" s="552"/>
      <c r="AE6" s="552"/>
      <c r="AF6" s="552"/>
      <c r="AG6" s="552"/>
      <c r="AH6" s="552"/>
      <c r="AI6" s="552"/>
      <c r="AJ6" s="552"/>
      <c r="AK6" s="552"/>
      <c r="AL6" s="552"/>
      <c r="AM6" s="552"/>
      <c r="AN6" s="552"/>
      <c r="AO6" s="552"/>
      <c r="AP6" s="552"/>
      <c r="AQ6" s="552"/>
      <c r="AR6" s="552"/>
      <c r="AS6" s="552"/>
      <c r="AT6" s="552"/>
      <c r="AU6" s="552"/>
      <c r="AV6" s="553"/>
      <c r="AW6" s="336"/>
      <c r="AX6" s="337"/>
      <c r="AY6" s="544" t="s">
        <v>417</v>
      </c>
      <c r="AZ6" s="545" t="s">
        <v>418</v>
      </c>
      <c r="BA6" s="338" t="s">
        <v>200</v>
      </c>
      <c r="BB6" s="339" t="s">
        <v>201</v>
      </c>
      <c r="BC6" s="318"/>
      <c r="BD6" s="318"/>
      <c r="BE6" s="318"/>
      <c r="BF6" s="318"/>
      <c r="BG6" s="318"/>
      <c r="BH6" s="318"/>
      <c r="BI6" s="318"/>
      <c r="BJ6" s="318"/>
      <c r="BK6" s="318"/>
      <c r="BL6" s="318"/>
      <c r="BM6" s="318"/>
      <c r="BN6" s="318"/>
      <c r="BO6" s="318"/>
      <c r="BP6" s="318"/>
      <c r="BQ6" s="318"/>
      <c r="BR6" s="318"/>
      <c r="BS6" s="318"/>
      <c r="BT6" s="318"/>
      <c r="BU6" s="318"/>
      <c r="BV6" s="318"/>
      <c r="BW6" s="318"/>
      <c r="BX6" s="318"/>
      <c r="BY6" s="318"/>
      <c r="BZ6" s="318"/>
      <c r="CA6" s="318"/>
      <c r="CB6" s="318"/>
      <c r="CC6" s="318"/>
      <c r="CD6" s="318"/>
      <c r="CE6" s="318"/>
      <c r="CF6" s="318"/>
      <c r="CG6" s="318"/>
      <c r="CH6" s="318"/>
      <c r="CI6" s="318"/>
      <c r="CJ6" s="318"/>
      <c r="CK6" s="318"/>
      <c r="CL6" s="318"/>
      <c r="CM6" s="318"/>
      <c r="CN6" s="318"/>
      <c r="CO6" s="318"/>
      <c r="CP6" s="318"/>
      <c r="CQ6" s="318"/>
      <c r="CR6" s="318"/>
      <c r="CS6" s="318"/>
      <c r="CT6" s="318"/>
      <c r="CU6" s="318"/>
      <c r="CV6" s="318"/>
      <c r="CW6" s="318"/>
      <c r="CX6" s="318"/>
      <c r="CY6" s="318"/>
      <c r="CZ6" s="318"/>
      <c r="DA6" s="318"/>
      <c r="DB6" s="318"/>
      <c r="DC6" s="318"/>
      <c r="DD6" s="318"/>
      <c r="DE6" s="318"/>
      <c r="DF6" s="318"/>
      <c r="DG6" s="318"/>
      <c r="DH6" s="318"/>
      <c r="DI6" s="318"/>
      <c r="DJ6" s="318"/>
      <c r="DK6" s="318"/>
      <c r="DL6" s="318"/>
      <c r="DM6" s="318"/>
      <c r="DN6" s="318"/>
      <c r="DO6" s="318"/>
      <c r="DP6" s="318"/>
      <c r="DQ6" s="318"/>
      <c r="DR6" s="318"/>
      <c r="DS6" s="318"/>
      <c r="DT6" s="318"/>
      <c r="DU6" s="318"/>
      <c r="DV6" s="318"/>
      <c r="DW6" s="318"/>
      <c r="DX6" s="318"/>
      <c r="DY6" s="318"/>
      <c r="DZ6" s="318"/>
      <c r="EA6" s="318"/>
      <c r="EB6" s="318"/>
      <c r="EC6" s="318"/>
      <c r="ED6" s="318"/>
      <c r="EE6" s="318"/>
      <c r="EF6" s="318"/>
      <c r="EG6" s="318"/>
      <c r="EH6" s="318"/>
      <c r="EI6" s="318"/>
      <c r="EJ6" s="318"/>
      <c r="EK6" s="318"/>
      <c r="EL6" s="318"/>
      <c r="EM6" s="318"/>
      <c r="EN6" s="318"/>
      <c r="EO6" s="318"/>
      <c r="EP6" s="318"/>
      <c r="EQ6" s="318"/>
      <c r="ER6" s="318"/>
      <c r="ES6" s="318"/>
      <c r="ET6" s="318"/>
      <c r="EU6" s="318"/>
      <c r="EV6" s="318"/>
      <c r="EW6" s="318"/>
      <c r="EX6" s="318"/>
      <c r="EY6" s="318"/>
      <c r="EZ6" s="318"/>
      <c r="FA6" s="318"/>
      <c r="FB6" s="318"/>
      <c r="FC6" s="318"/>
      <c r="FD6" s="318"/>
      <c r="FE6" s="318"/>
      <c r="FF6" s="318"/>
      <c r="FG6" s="318"/>
      <c r="FH6" s="318"/>
      <c r="FI6" s="318"/>
      <c r="FJ6" s="318"/>
      <c r="FK6" s="318"/>
      <c r="FL6" s="318"/>
      <c r="FM6" s="318"/>
      <c r="FN6" s="318"/>
      <c r="FO6" s="318"/>
      <c r="FP6" s="318"/>
      <c r="FQ6" s="318"/>
      <c r="FR6" s="318"/>
      <c r="FS6" s="318"/>
      <c r="FT6" s="318"/>
      <c r="FU6" s="318"/>
      <c r="FV6" s="318"/>
      <c r="FW6" s="318"/>
      <c r="FX6" s="318"/>
      <c r="FY6" s="318"/>
      <c r="FZ6" s="318"/>
      <c r="GA6" s="318"/>
      <c r="GB6" s="318"/>
      <c r="GC6" s="318"/>
      <c r="GD6" s="318"/>
      <c r="GE6" s="318"/>
      <c r="GF6" s="318"/>
      <c r="GG6" s="318"/>
      <c r="GH6" s="318"/>
      <c r="GI6" s="318"/>
      <c r="GJ6" s="318"/>
      <c r="GK6" s="318"/>
      <c r="GL6" s="318"/>
      <c r="GM6" s="318"/>
      <c r="GN6" s="318"/>
      <c r="GO6" s="318"/>
      <c r="GP6" s="318"/>
      <c r="GQ6" s="318"/>
      <c r="GR6" s="318"/>
      <c r="GS6" s="318"/>
      <c r="GT6" s="318"/>
      <c r="GU6" s="318"/>
      <c r="GV6" s="318"/>
      <c r="GW6" s="318"/>
      <c r="GX6" s="318"/>
      <c r="GY6" s="318"/>
      <c r="GZ6" s="318"/>
      <c r="HA6" s="318"/>
      <c r="HB6" s="318"/>
      <c r="HC6" s="318"/>
      <c r="HD6" s="318"/>
      <c r="HE6" s="318"/>
      <c r="HF6" s="318"/>
      <c r="HG6" s="318"/>
      <c r="HH6" s="318"/>
      <c r="HI6" s="318"/>
      <c r="HJ6" s="318"/>
      <c r="HK6" s="318"/>
      <c r="HL6" s="318"/>
      <c r="HM6" s="318"/>
      <c r="HN6" s="318"/>
      <c r="HO6" s="318"/>
      <c r="HP6" s="318"/>
      <c r="HQ6" s="318"/>
      <c r="HR6" s="318"/>
      <c r="HS6" s="318"/>
      <c r="HT6" s="318"/>
      <c r="HU6" s="318"/>
      <c r="HV6" s="318"/>
      <c r="HW6" s="318"/>
      <c r="HX6" s="318"/>
      <c r="HY6" s="318"/>
      <c r="HZ6" s="318"/>
      <c r="IA6" s="318"/>
      <c r="IB6" s="318"/>
      <c r="IC6" s="318"/>
      <c r="ID6" s="318"/>
      <c r="IE6" s="318"/>
      <c r="IF6" s="318"/>
      <c r="IG6" s="318"/>
      <c r="IH6" s="318"/>
      <c r="II6" s="318"/>
      <c r="IJ6" s="318"/>
      <c r="IK6" s="318"/>
      <c r="IL6" s="318"/>
      <c r="IM6" s="318"/>
      <c r="IN6" s="318"/>
      <c r="IO6" s="318"/>
      <c r="IP6" s="318"/>
      <c r="IQ6" s="318"/>
      <c r="IR6" s="318"/>
      <c r="IS6" s="318"/>
      <c r="IT6" s="318"/>
      <c r="IU6" s="318"/>
      <c r="IV6" s="318"/>
      <c r="IW6" s="318"/>
      <c r="IX6" s="318"/>
      <c r="IY6" s="318"/>
      <c r="IZ6" s="318"/>
      <c r="JA6" s="318"/>
      <c r="JB6" s="318"/>
      <c r="JC6" s="318"/>
      <c r="JD6" s="318"/>
      <c r="JE6" s="318"/>
      <c r="JF6" s="318"/>
      <c r="JG6" s="318"/>
      <c r="JH6" s="318"/>
      <c r="JI6" s="318"/>
      <c r="JJ6" s="318"/>
      <c r="JK6" s="318"/>
      <c r="JL6" s="318"/>
      <c r="JM6" s="318"/>
      <c r="JN6" s="318"/>
      <c r="JO6" s="318"/>
      <c r="JP6" s="318"/>
      <c r="JQ6" s="318"/>
      <c r="JR6" s="318"/>
      <c r="JS6" s="318"/>
      <c r="JT6" s="318"/>
      <c r="JU6" s="318"/>
      <c r="JV6" s="318"/>
      <c r="JW6" s="318"/>
      <c r="JX6" s="318"/>
      <c r="JY6" s="318"/>
      <c r="JZ6" s="318"/>
      <c r="KA6" s="318"/>
      <c r="KB6" s="318"/>
      <c r="KC6" s="318"/>
      <c r="KD6" s="318"/>
      <c r="KE6" s="318"/>
      <c r="KF6" s="318"/>
      <c r="KG6" s="318"/>
      <c r="KH6" s="318"/>
      <c r="KI6" s="318"/>
      <c r="KJ6" s="318"/>
      <c r="KK6" s="318"/>
      <c r="KL6" s="318"/>
      <c r="KM6" s="318"/>
      <c r="KN6" s="318"/>
      <c r="KO6" s="318"/>
      <c r="KP6" s="318"/>
      <c r="KQ6" s="318"/>
      <c r="KR6" s="318"/>
      <c r="KS6" s="318"/>
      <c r="KT6" s="318"/>
      <c r="KU6" s="318"/>
      <c r="KV6" s="318"/>
      <c r="KW6" s="318"/>
      <c r="KX6" s="318"/>
      <c r="KY6" s="318"/>
      <c r="KZ6" s="318"/>
      <c r="LA6" s="318"/>
      <c r="LB6" s="318"/>
      <c r="LC6" s="318"/>
      <c r="LD6" s="318"/>
      <c r="LE6" s="318"/>
      <c r="LF6" s="318"/>
      <c r="LG6" s="318"/>
      <c r="LH6" s="318"/>
      <c r="LI6" s="318"/>
      <c r="LJ6" s="318"/>
      <c r="LK6" s="318"/>
      <c r="LL6" s="318"/>
      <c r="LM6" s="318"/>
      <c r="LN6" s="318"/>
      <c r="LO6" s="318"/>
      <c r="LP6" s="318"/>
      <c r="LQ6" s="318"/>
      <c r="LR6" s="318"/>
      <c r="LS6" s="318"/>
      <c r="LT6" s="318"/>
      <c r="LU6" s="318"/>
      <c r="LV6" s="318"/>
      <c r="LW6" s="318"/>
      <c r="LX6" s="318"/>
      <c r="LY6" s="318"/>
      <c r="LZ6" s="318"/>
      <c r="MA6" s="318"/>
      <c r="MB6" s="318"/>
      <c r="MC6" s="318"/>
      <c r="MD6" s="318"/>
      <c r="ME6" s="318"/>
      <c r="MF6" s="318"/>
      <c r="MG6" s="318"/>
      <c r="MH6" s="318"/>
      <c r="MI6" s="318"/>
      <c r="MJ6" s="318"/>
      <c r="MK6" s="318"/>
      <c r="ML6" s="318"/>
      <c r="MM6" s="318"/>
      <c r="MN6" s="318"/>
      <c r="MO6" s="318"/>
      <c r="MP6" s="318"/>
      <c r="MQ6" s="318"/>
      <c r="MR6" s="318"/>
      <c r="MS6" s="318"/>
      <c r="MT6" s="318"/>
      <c r="MU6" s="318"/>
      <c r="MV6" s="318"/>
      <c r="MW6" s="318"/>
      <c r="MX6" s="318"/>
      <c r="MY6" s="318"/>
      <c r="MZ6" s="318"/>
      <c r="NA6" s="318"/>
      <c r="NB6" s="318"/>
      <c r="NC6" s="318"/>
      <c r="ND6" s="318"/>
      <c r="NE6" s="318"/>
      <c r="NF6" s="318"/>
      <c r="NG6" s="318"/>
      <c r="NH6" s="318"/>
      <c r="NI6" s="318"/>
      <c r="NJ6" s="318"/>
      <c r="NK6" s="318"/>
      <c r="NL6" s="318"/>
      <c r="NM6" s="318"/>
      <c r="NN6" s="318"/>
      <c r="NO6" s="318"/>
      <c r="NP6" s="318"/>
      <c r="NQ6" s="318"/>
      <c r="NR6" s="318"/>
      <c r="NS6" s="318"/>
      <c r="NT6" s="318"/>
      <c r="NU6" s="318"/>
      <c r="NV6" s="318"/>
      <c r="NW6" s="318"/>
      <c r="NX6" s="318"/>
      <c r="NY6" s="318"/>
      <c r="NZ6" s="318"/>
      <c r="OA6" s="318"/>
      <c r="OB6" s="318"/>
      <c r="OC6" s="318"/>
      <c r="OD6" s="318"/>
      <c r="OE6" s="318"/>
      <c r="OF6" s="318"/>
      <c r="OG6" s="318"/>
      <c r="OH6" s="318"/>
      <c r="OI6" s="318"/>
      <c r="OJ6" s="318"/>
      <c r="OK6" s="318"/>
      <c r="OL6" s="318"/>
      <c r="OM6" s="318"/>
      <c r="ON6" s="318"/>
      <c r="OO6" s="318"/>
      <c r="OP6" s="318"/>
      <c r="OQ6" s="318"/>
      <c r="OR6" s="318"/>
      <c r="OS6" s="318"/>
      <c r="OT6" s="318"/>
      <c r="OU6" s="318"/>
      <c r="OV6" s="318"/>
      <c r="OW6" s="318"/>
      <c r="OX6" s="318"/>
      <c r="OY6" s="318"/>
      <c r="OZ6" s="318"/>
      <c r="PA6" s="318"/>
      <c r="PB6" s="318"/>
      <c r="PC6" s="318"/>
      <c r="PD6" s="318"/>
      <c r="PE6" s="318"/>
      <c r="PF6" s="318"/>
      <c r="PG6" s="318"/>
      <c r="PH6" s="318"/>
      <c r="PI6" s="318"/>
      <c r="PJ6" s="318"/>
      <c r="PK6" s="318"/>
      <c r="PL6" s="318"/>
      <c r="PM6" s="318"/>
      <c r="PN6" s="318"/>
      <c r="PO6" s="318"/>
      <c r="PP6" s="318"/>
      <c r="PQ6" s="318"/>
      <c r="PR6" s="318"/>
      <c r="PS6" s="318"/>
      <c r="PT6" s="318"/>
      <c r="PU6" s="318"/>
      <c r="PV6" s="318"/>
      <c r="PW6" s="318"/>
      <c r="PX6" s="318"/>
      <c r="PY6" s="318"/>
      <c r="PZ6" s="318"/>
      <c r="QA6" s="318"/>
      <c r="QB6" s="318"/>
      <c r="QC6" s="318"/>
      <c r="QD6" s="318"/>
      <c r="QE6" s="318"/>
      <c r="QF6" s="318"/>
      <c r="QG6" s="318"/>
      <c r="QH6" s="318"/>
      <c r="QI6" s="318"/>
      <c r="QJ6" s="318"/>
      <c r="QK6" s="318"/>
      <c r="QL6" s="318"/>
      <c r="QM6" s="318"/>
      <c r="QN6" s="318"/>
      <c r="QO6" s="318"/>
      <c r="QP6" s="318"/>
      <c r="QQ6" s="318"/>
      <c r="QR6" s="318"/>
      <c r="QS6" s="318"/>
      <c r="QT6" s="318"/>
      <c r="QU6" s="318"/>
      <c r="QV6" s="318"/>
      <c r="QW6" s="318"/>
      <c r="QX6" s="318"/>
      <c r="QY6" s="318"/>
      <c r="QZ6" s="318"/>
      <c r="RA6" s="318"/>
      <c r="RB6" s="318"/>
      <c r="RC6" s="318"/>
      <c r="RD6" s="318"/>
      <c r="RE6" s="318"/>
      <c r="RF6" s="318"/>
      <c r="RG6" s="318"/>
      <c r="RH6" s="318"/>
      <c r="RI6" s="318"/>
      <c r="RJ6" s="318"/>
      <c r="RK6" s="318"/>
      <c r="RL6" s="318"/>
      <c r="RM6" s="318"/>
      <c r="RN6" s="318"/>
      <c r="RO6" s="318"/>
      <c r="RP6" s="318"/>
      <c r="RQ6" s="318"/>
      <c r="RR6" s="318"/>
      <c r="RS6" s="318"/>
      <c r="RT6" s="318"/>
      <c r="RU6" s="318"/>
      <c r="RV6" s="318"/>
      <c r="RW6" s="318"/>
      <c r="RX6" s="318"/>
      <c r="RY6" s="318"/>
      <c r="RZ6" s="318"/>
      <c r="SA6" s="318"/>
      <c r="SB6" s="318"/>
      <c r="SC6" s="318"/>
      <c r="SD6" s="318"/>
      <c r="SE6" s="318"/>
      <c r="SF6" s="318"/>
      <c r="SG6" s="318"/>
      <c r="SH6" s="318"/>
      <c r="SI6" s="318"/>
      <c r="SJ6" s="318"/>
      <c r="SK6" s="318"/>
      <c r="SL6" s="318"/>
      <c r="SM6" s="318"/>
      <c r="SN6" s="318"/>
      <c r="SO6" s="318"/>
      <c r="SP6" s="318"/>
      <c r="SQ6" s="318"/>
      <c r="SR6" s="318"/>
      <c r="SS6" s="318"/>
      <c r="ST6" s="318"/>
      <c r="SU6" s="318"/>
      <c r="SV6" s="318"/>
      <c r="SW6" s="318"/>
      <c r="SX6" s="318"/>
      <c r="SY6" s="318"/>
      <c r="SZ6" s="318"/>
      <c r="TA6" s="318"/>
      <c r="TB6" s="318"/>
      <c r="TC6" s="318"/>
      <c r="TD6" s="318"/>
      <c r="TE6" s="318"/>
      <c r="TF6" s="318"/>
      <c r="TG6" s="318"/>
      <c r="TH6" s="318"/>
      <c r="TI6" s="318"/>
      <c r="TJ6" s="318"/>
      <c r="TK6" s="318"/>
      <c r="TL6" s="318"/>
      <c r="TM6" s="318"/>
      <c r="TN6" s="318"/>
      <c r="TO6" s="318"/>
      <c r="TP6" s="318"/>
      <c r="TQ6" s="318"/>
      <c r="TR6" s="318"/>
      <c r="TS6" s="318"/>
      <c r="TT6" s="318"/>
      <c r="TU6" s="318"/>
      <c r="TV6" s="318"/>
      <c r="TW6" s="318"/>
      <c r="TX6" s="318"/>
      <c r="TY6" s="318"/>
      <c r="TZ6" s="318"/>
      <c r="UA6" s="318"/>
      <c r="UB6" s="318"/>
      <c r="UC6" s="318"/>
      <c r="UD6" s="318"/>
      <c r="UE6" s="318"/>
      <c r="UF6" s="318"/>
      <c r="UG6" s="318"/>
      <c r="UH6" s="318"/>
      <c r="UI6" s="318"/>
      <c r="UJ6" s="318"/>
      <c r="UK6" s="318"/>
      <c r="UL6" s="318"/>
      <c r="UM6" s="318"/>
      <c r="UN6" s="318"/>
      <c r="UO6" s="318"/>
      <c r="UP6" s="318"/>
      <c r="UQ6" s="318"/>
      <c r="UR6" s="318"/>
      <c r="US6" s="318"/>
      <c r="UT6" s="318"/>
      <c r="UU6" s="318"/>
      <c r="UV6" s="318"/>
      <c r="UW6" s="318"/>
      <c r="UX6" s="318"/>
      <c r="UY6" s="318"/>
      <c r="UZ6" s="318"/>
      <c r="VA6" s="318"/>
      <c r="VB6" s="318"/>
      <c r="VC6" s="318"/>
      <c r="VD6" s="318"/>
      <c r="VE6" s="318"/>
      <c r="VF6" s="318"/>
      <c r="VG6" s="318"/>
      <c r="VH6" s="318"/>
      <c r="VI6" s="318"/>
      <c r="VJ6" s="318"/>
      <c r="VK6" s="318"/>
      <c r="VL6" s="318"/>
      <c r="VM6" s="318"/>
      <c r="VN6" s="318"/>
      <c r="VO6" s="318"/>
      <c r="VP6" s="318"/>
      <c r="VQ6" s="318"/>
      <c r="VR6" s="318"/>
      <c r="VS6" s="318"/>
      <c r="VT6" s="318"/>
      <c r="VU6" s="318"/>
      <c r="VV6" s="318"/>
      <c r="VW6" s="318"/>
      <c r="VX6" s="318"/>
      <c r="VY6" s="318"/>
      <c r="VZ6" s="318"/>
      <c r="WA6" s="318"/>
      <c r="WB6" s="318"/>
      <c r="WC6" s="318"/>
      <c r="WD6" s="318"/>
      <c r="WE6" s="318"/>
      <c r="WF6" s="318"/>
      <c r="WG6" s="318"/>
      <c r="WH6" s="318"/>
      <c r="WI6" s="318"/>
      <c r="WJ6" s="318"/>
      <c r="WK6" s="318"/>
      <c r="WL6" s="318"/>
      <c r="WM6" s="318"/>
      <c r="WN6" s="318"/>
      <c r="WO6" s="318"/>
      <c r="WP6" s="318"/>
      <c r="WQ6" s="318"/>
      <c r="WR6" s="318"/>
      <c r="WS6" s="318"/>
      <c r="WT6" s="318"/>
      <c r="WU6" s="318"/>
      <c r="WV6" s="318"/>
      <c r="WW6" s="318"/>
      <c r="WX6" s="318"/>
      <c r="WY6" s="318"/>
      <c r="WZ6" s="318"/>
      <c r="XA6" s="318"/>
      <c r="XB6" s="318"/>
      <c r="XC6" s="318"/>
      <c r="XD6" s="318"/>
      <c r="XE6" s="318"/>
      <c r="XF6" s="318"/>
      <c r="XG6" s="318"/>
      <c r="XH6" s="318"/>
      <c r="XI6" s="318"/>
      <c r="XJ6" s="318"/>
      <c r="XK6" s="318"/>
      <c r="XL6" s="318"/>
      <c r="XM6" s="318"/>
      <c r="XN6" s="318"/>
      <c r="XO6" s="318"/>
      <c r="XP6" s="318"/>
      <c r="XQ6" s="318"/>
      <c r="XR6" s="318"/>
      <c r="XS6" s="318"/>
      <c r="XT6" s="318"/>
      <c r="XU6" s="318"/>
      <c r="XV6" s="318"/>
      <c r="XW6" s="318"/>
      <c r="XX6" s="318"/>
      <c r="XY6" s="318"/>
      <c r="XZ6" s="318"/>
      <c r="YA6" s="318"/>
      <c r="YB6" s="318"/>
      <c r="YC6" s="318"/>
      <c r="YD6" s="318"/>
      <c r="YE6" s="318"/>
      <c r="YF6" s="318"/>
      <c r="YG6" s="318"/>
      <c r="YH6" s="318"/>
      <c r="YI6" s="318"/>
      <c r="YJ6" s="318"/>
      <c r="YK6" s="318"/>
      <c r="YL6" s="318"/>
      <c r="YM6" s="318"/>
      <c r="YN6" s="318"/>
      <c r="YO6" s="318"/>
      <c r="YP6" s="318"/>
      <c r="YQ6" s="318"/>
      <c r="YR6" s="318"/>
      <c r="YS6" s="318"/>
      <c r="YT6" s="318"/>
      <c r="YU6" s="318"/>
      <c r="YV6" s="318"/>
      <c r="YW6" s="318"/>
      <c r="YX6" s="318"/>
      <c r="YY6" s="318"/>
      <c r="YZ6" s="318"/>
      <c r="ZA6" s="318"/>
      <c r="ZB6" s="318"/>
      <c r="ZC6" s="318"/>
      <c r="ZD6" s="318"/>
      <c r="ZE6" s="318"/>
      <c r="ZF6" s="318"/>
      <c r="ZG6" s="318"/>
      <c r="ZH6" s="318"/>
      <c r="ZI6" s="318"/>
      <c r="ZJ6" s="318"/>
      <c r="ZK6" s="318"/>
      <c r="ZL6" s="318"/>
      <c r="ZM6" s="318"/>
      <c r="ZN6" s="318"/>
      <c r="ZO6" s="318"/>
      <c r="ZP6" s="318"/>
      <c r="ZQ6" s="318"/>
      <c r="ZR6" s="318"/>
      <c r="ZS6" s="318"/>
      <c r="ZT6" s="318"/>
      <c r="ZU6" s="318"/>
      <c r="ZV6" s="318"/>
      <c r="ZW6" s="318"/>
      <c r="ZX6" s="318"/>
      <c r="ZY6" s="318"/>
      <c r="ZZ6" s="318"/>
      <c r="AAA6" s="318"/>
      <c r="AAB6" s="318"/>
      <c r="AAC6" s="318"/>
      <c r="AAD6" s="318"/>
      <c r="AAE6" s="318"/>
      <c r="AAF6" s="318"/>
      <c r="AAG6" s="318"/>
      <c r="AAH6" s="318"/>
      <c r="AAI6" s="318"/>
      <c r="AAJ6" s="318"/>
      <c r="AAK6" s="318"/>
      <c r="AAL6" s="318"/>
      <c r="AAM6" s="318"/>
      <c r="AAN6" s="318"/>
      <c r="AAO6" s="318"/>
      <c r="AAP6" s="318"/>
      <c r="AAQ6" s="318"/>
      <c r="AAR6" s="318"/>
      <c r="AAS6" s="318"/>
      <c r="AAT6" s="318"/>
      <c r="AAU6" s="318"/>
      <c r="AAV6" s="318"/>
      <c r="AAW6" s="318"/>
      <c r="AAX6" s="318"/>
      <c r="AAY6" s="318"/>
      <c r="AAZ6" s="318"/>
      <c r="ABA6" s="318"/>
      <c r="ABB6" s="318"/>
      <c r="ABC6" s="318"/>
      <c r="ABD6" s="318"/>
      <c r="ABE6" s="318"/>
      <c r="ABF6" s="318"/>
      <c r="ABG6" s="318"/>
      <c r="ABH6" s="318"/>
      <c r="ABI6" s="318"/>
      <c r="ABJ6" s="318"/>
      <c r="ABK6" s="318"/>
      <c r="ABL6" s="318"/>
      <c r="ABM6" s="318"/>
      <c r="ABN6" s="318"/>
      <c r="ABO6" s="318"/>
      <c r="ABP6" s="318"/>
      <c r="ABQ6" s="318"/>
      <c r="ABR6" s="318"/>
      <c r="ABS6" s="318"/>
      <c r="ABT6" s="318"/>
      <c r="ABU6" s="318"/>
      <c r="ABV6" s="318"/>
      <c r="ABW6" s="318"/>
      <c r="ABX6" s="318"/>
      <c r="ABY6" s="318"/>
      <c r="ABZ6" s="318"/>
      <c r="ACA6" s="318"/>
      <c r="ACB6" s="318"/>
      <c r="ACC6" s="318"/>
      <c r="ACD6" s="318"/>
      <c r="ACE6" s="318"/>
      <c r="ACF6" s="318"/>
      <c r="ACG6" s="318"/>
      <c r="ACH6" s="318"/>
      <c r="ACI6" s="318"/>
      <c r="ACJ6" s="318"/>
      <c r="ACK6" s="318"/>
      <c r="ACL6" s="318"/>
      <c r="ACM6" s="318"/>
      <c r="ACN6" s="318"/>
      <c r="ACO6" s="318"/>
      <c r="ACP6" s="318"/>
      <c r="ACQ6" s="318"/>
      <c r="ACR6" s="318"/>
      <c r="ACS6" s="318"/>
      <c r="ACT6" s="318"/>
      <c r="ACU6" s="318"/>
      <c r="ACV6" s="318"/>
      <c r="ACW6" s="318"/>
      <c r="ACX6" s="318"/>
      <c r="ACY6" s="318"/>
      <c r="ACZ6" s="318"/>
      <c r="ADA6" s="318"/>
      <c r="ADB6" s="318"/>
      <c r="ADC6" s="318"/>
      <c r="ADD6" s="318"/>
      <c r="ADE6" s="318"/>
      <c r="ADF6" s="318"/>
      <c r="ADG6" s="318"/>
      <c r="ADH6" s="318"/>
      <c r="ADI6" s="318"/>
      <c r="ADJ6" s="318"/>
      <c r="ADK6" s="318"/>
      <c r="ADL6" s="318"/>
      <c r="ADM6" s="318"/>
      <c r="ADN6" s="318"/>
      <c r="ADO6" s="318"/>
      <c r="ADP6" s="318"/>
      <c r="ADQ6" s="318"/>
      <c r="ADR6" s="318"/>
      <c r="ADS6" s="318"/>
      <c r="ADT6" s="318"/>
      <c r="ADU6" s="318"/>
      <c r="ADV6" s="318"/>
      <c r="ADW6" s="318"/>
      <c r="ADX6" s="318"/>
      <c r="ADY6" s="318"/>
      <c r="ADZ6" s="318"/>
      <c r="AEA6" s="318"/>
      <c r="AEB6" s="318"/>
      <c r="AEC6" s="318"/>
      <c r="AED6" s="318"/>
      <c r="AEE6" s="318"/>
      <c r="AEF6" s="318"/>
      <c r="AEG6" s="318"/>
      <c r="AEH6" s="318"/>
      <c r="AEI6" s="318"/>
      <c r="AEJ6" s="318"/>
      <c r="AEK6" s="318"/>
      <c r="AEL6" s="318"/>
      <c r="AEM6" s="318"/>
      <c r="AEN6" s="318"/>
      <c r="AEO6" s="318"/>
      <c r="AEP6" s="318"/>
      <c r="AEQ6" s="318"/>
      <c r="AER6" s="318"/>
      <c r="AES6" s="318"/>
      <c r="AET6" s="318"/>
      <c r="AEU6" s="318"/>
      <c r="AEV6" s="318"/>
      <c r="AEW6" s="318"/>
      <c r="AEX6" s="318"/>
      <c r="AEY6" s="318"/>
      <c r="AEZ6" s="318"/>
      <c r="AFA6" s="318"/>
      <c r="AFB6" s="318"/>
      <c r="AFC6" s="318"/>
      <c r="AFD6" s="318"/>
      <c r="AFE6" s="318"/>
      <c r="AFF6" s="318"/>
      <c r="AFG6" s="318"/>
      <c r="AFH6" s="318"/>
      <c r="AFI6" s="318"/>
      <c r="AFJ6" s="318"/>
      <c r="AFK6" s="318"/>
      <c r="AFL6" s="318"/>
      <c r="AFM6" s="318"/>
      <c r="AFN6" s="318"/>
      <c r="AFO6" s="318"/>
      <c r="AFP6" s="318"/>
      <c r="AFQ6" s="318"/>
      <c r="AFR6" s="318"/>
      <c r="AFS6" s="318"/>
      <c r="AFT6" s="318"/>
      <c r="AFU6" s="318"/>
      <c r="AFV6" s="318"/>
      <c r="AFW6" s="318"/>
      <c r="AFX6" s="318"/>
      <c r="AFY6" s="318"/>
      <c r="AFZ6" s="318"/>
      <c r="AGA6" s="318"/>
      <c r="AGB6" s="318"/>
      <c r="AGC6" s="318"/>
      <c r="AGD6" s="318"/>
      <c r="AGE6" s="318"/>
      <c r="AGF6" s="318"/>
      <c r="AGG6" s="318"/>
      <c r="AGH6" s="318"/>
      <c r="AGI6" s="318"/>
      <c r="AGJ6" s="318"/>
      <c r="AGK6" s="318"/>
      <c r="AGL6" s="318"/>
      <c r="AGM6" s="318"/>
      <c r="AGN6" s="318"/>
      <c r="AGO6" s="318"/>
      <c r="AGP6" s="318"/>
      <c r="AGQ6" s="318"/>
      <c r="AGR6" s="318"/>
      <c r="AGS6" s="318"/>
      <c r="AGT6" s="318"/>
      <c r="AGU6" s="318"/>
      <c r="AGV6" s="318"/>
      <c r="AGW6" s="318"/>
      <c r="AGX6" s="318"/>
      <c r="AGY6" s="318"/>
      <c r="AGZ6" s="318"/>
      <c r="AHA6" s="318"/>
      <c r="AHB6" s="318"/>
      <c r="AHC6" s="318"/>
      <c r="AHD6" s="318"/>
      <c r="AHE6" s="318"/>
      <c r="AHF6" s="318"/>
      <c r="AHG6" s="318"/>
      <c r="AHH6" s="318"/>
      <c r="AHI6" s="318"/>
      <c r="AHJ6" s="318"/>
      <c r="AHK6" s="318"/>
      <c r="AHL6" s="318"/>
      <c r="AHM6" s="318"/>
      <c r="AHN6" s="318"/>
      <c r="AHO6" s="318"/>
      <c r="AHP6" s="318"/>
      <c r="AHQ6" s="318"/>
      <c r="AHR6" s="318"/>
      <c r="AHS6" s="318"/>
      <c r="AHT6" s="318"/>
      <c r="AHU6" s="318"/>
      <c r="AHV6" s="318"/>
      <c r="AHW6" s="318"/>
      <c r="AHX6" s="318"/>
      <c r="AHY6" s="318"/>
      <c r="AHZ6" s="318"/>
      <c r="AIA6" s="318"/>
      <c r="AIB6" s="318"/>
      <c r="AIC6" s="318"/>
      <c r="AID6" s="318"/>
      <c r="AIE6" s="318"/>
      <c r="AIF6" s="318"/>
      <c r="AIG6" s="318"/>
      <c r="AIH6" s="318"/>
      <c r="AII6" s="318"/>
      <c r="AIJ6" s="318"/>
      <c r="AIK6" s="318"/>
      <c r="AIL6" s="318"/>
      <c r="AIM6" s="318"/>
      <c r="AIN6" s="318"/>
      <c r="AIO6" s="318"/>
      <c r="AIP6" s="318"/>
      <c r="AIQ6" s="318"/>
      <c r="AIR6" s="318"/>
      <c r="AIS6" s="318"/>
      <c r="AIT6" s="318"/>
      <c r="AIU6" s="318"/>
      <c r="AIV6" s="318"/>
      <c r="AIW6" s="318"/>
      <c r="AIX6" s="318"/>
      <c r="AIY6" s="318"/>
      <c r="AIZ6" s="318"/>
      <c r="AJA6" s="318"/>
      <c r="AJB6" s="318"/>
      <c r="AJC6" s="318"/>
      <c r="AJD6" s="318"/>
      <c r="AJE6" s="318"/>
      <c r="AJF6" s="318"/>
      <c r="AJG6" s="318"/>
      <c r="AJH6" s="318"/>
      <c r="AJI6" s="318"/>
      <c r="AJJ6" s="318"/>
      <c r="AJK6" s="318"/>
      <c r="AJL6" s="318"/>
      <c r="AJM6" s="318"/>
      <c r="AJN6" s="318"/>
      <c r="AJO6" s="318"/>
      <c r="AJP6" s="318"/>
      <c r="AJQ6" s="318"/>
      <c r="AJR6" s="318"/>
      <c r="AJS6" s="318"/>
      <c r="AJT6" s="318"/>
      <c r="AJU6" s="318"/>
      <c r="AJV6" s="318"/>
      <c r="AJW6" s="318"/>
      <c r="AJX6" s="318"/>
      <c r="AJY6" s="318"/>
      <c r="AJZ6" s="318"/>
      <c r="AKA6" s="318"/>
      <c r="AKB6" s="318"/>
      <c r="AKC6" s="318"/>
      <c r="AKD6" s="318"/>
      <c r="AKE6" s="318"/>
      <c r="AKF6" s="318"/>
      <c r="AKG6" s="318"/>
      <c r="AKH6" s="318"/>
      <c r="AKI6" s="318"/>
      <c r="AKJ6" s="318"/>
      <c r="AKK6" s="318"/>
      <c r="AKL6" s="318"/>
      <c r="AKM6" s="318"/>
      <c r="AKN6" s="318"/>
      <c r="AKO6" s="318"/>
      <c r="AKP6" s="318"/>
      <c r="AKQ6" s="318"/>
      <c r="AKR6" s="318"/>
      <c r="AKS6" s="318"/>
      <c r="AKT6" s="318"/>
      <c r="AKU6" s="318"/>
      <c r="AKV6" s="318"/>
      <c r="AKW6" s="318"/>
      <c r="AKX6" s="318"/>
      <c r="AKY6" s="318"/>
      <c r="AKZ6" s="318"/>
      <c r="ALA6" s="318"/>
      <c r="ALB6" s="318"/>
      <c r="ALC6" s="318"/>
    </row>
    <row r="7" spans="1:991" ht="20.65" hidden="1" customHeight="1" x14ac:dyDescent="0.25">
      <c r="A7" s="318"/>
      <c r="B7" s="319"/>
      <c r="C7" s="554"/>
      <c r="D7" s="318"/>
      <c r="E7" s="546"/>
      <c r="F7" s="546"/>
      <c r="G7" s="546"/>
      <c r="H7" s="546"/>
      <c r="I7" s="546"/>
      <c r="J7" s="546"/>
      <c r="K7" s="547"/>
      <c r="L7" s="340"/>
      <c r="M7" s="341"/>
      <c r="N7" s="341"/>
      <c r="O7" s="342"/>
      <c r="P7" s="343"/>
      <c r="Q7" s="343"/>
      <c r="R7" s="343" t="s">
        <v>72</v>
      </c>
      <c r="S7" s="339"/>
      <c r="T7" s="339"/>
      <c r="U7" s="344"/>
      <c r="V7" s="344"/>
      <c r="W7" s="344"/>
      <c r="X7" s="344"/>
      <c r="Y7" s="344"/>
      <c r="Z7" s="344" t="s">
        <v>19</v>
      </c>
      <c r="AA7" s="339"/>
      <c r="AB7" s="339"/>
      <c r="AC7" s="339"/>
      <c r="AD7" s="339"/>
      <c r="AE7" s="339"/>
      <c r="AF7" s="339"/>
      <c r="AG7" s="339"/>
      <c r="AH7" s="339"/>
      <c r="AI7" s="339"/>
      <c r="AJ7" s="339"/>
      <c r="AK7" s="339"/>
      <c r="AL7" s="345"/>
      <c r="AM7" s="345"/>
      <c r="AN7" s="345"/>
      <c r="AO7" s="345"/>
      <c r="AP7" s="339"/>
      <c r="AQ7" s="339"/>
      <c r="AR7" s="339"/>
      <c r="AS7" s="346" t="s">
        <v>73</v>
      </c>
      <c r="AT7" s="346"/>
      <c r="AU7" s="346"/>
      <c r="AV7" s="346" t="s">
        <v>74</v>
      </c>
      <c r="AW7" s="339"/>
      <c r="AX7" s="347"/>
      <c r="AY7" s="544"/>
      <c r="AZ7" s="545"/>
      <c r="BA7" s="338"/>
      <c r="BB7" s="339"/>
      <c r="BC7" s="318"/>
      <c r="BD7" s="318"/>
      <c r="BE7" s="318"/>
      <c r="BF7" s="318"/>
      <c r="BG7" s="318"/>
      <c r="BH7" s="318"/>
      <c r="BI7" s="318"/>
      <c r="BJ7" s="318"/>
      <c r="BK7" s="318"/>
      <c r="BL7" s="318"/>
      <c r="BM7" s="318"/>
      <c r="BN7" s="318"/>
      <c r="BO7" s="318"/>
      <c r="BP7" s="318"/>
      <c r="BQ7" s="318"/>
      <c r="BR7" s="318"/>
      <c r="BS7" s="318"/>
      <c r="BT7" s="318"/>
      <c r="BU7" s="318"/>
      <c r="BV7" s="318"/>
      <c r="BW7" s="318"/>
      <c r="BX7" s="318"/>
      <c r="BY7" s="318"/>
      <c r="BZ7" s="318"/>
      <c r="CA7" s="318"/>
      <c r="CB7" s="318"/>
      <c r="CC7" s="318"/>
      <c r="CD7" s="318"/>
      <c r="CE7" s="318"/>
      <c r="CF7" s="318"/>
      <c r="CG7" s="318"/>
      <c r="CH7" s="318"/>
      <c r="CI7" s="318"/>
      <c r="CJ7" s="318"/>
      <c r="CK7" s="318"/>
      <c r="CL7" s="318"/>
      <c r="CM7" s="318"/>
      <c r="CN7" s="318"/>
      <c r="CO7" s="318"/>
      <c r="CP7" s="318"/>
      <c r="CQ7" s="318"/>
      <c r="CR7" s="318"/>
      <c r="CS7" s="318"/>
      <c r="CT7" s="318"/>
      <c r="CU7" s="318"/>
      <c r="CV7" s="318"/>
      <c r="CW7" s="318"/>
      <c r="CX7" s="318"/>
      <c r="CY7" s="318"/>
      <c r="CZ7" s="318"/>
      <c r="DA7" s="318"/>
      <c r="DB7" s="318"/>
      <c r="DC7" s="318"/>
      <c r="DD7" s="318"/>
      <c r="DE7" s="318"/>
      <c r="DF7" s="318"/>
      <c r="DG7" s="318"/>
      <c r="DH7" s="318"/>
      <c r="DI7" s="318"/>
      <c r="DJ7" s="318"/>
      <c r="DK7" s="318"/>
      <c r="DL7" s="318"/>
      <c r="DM7" s="318"/>
      <c r="DN7" s="318"/>
      <c r="DO7" s="318"/>
      <c r="DP7" s="318"/>
      <c r="DQ7" s="318"/>
      <c r="DR7" s="318"/>
      <c r="DS7" s="318"/>
      <c r="DT7" s="318"/>
      <c r="DU7" s="318"/>
      <c r="DV7" s="318"/>
      <c r="DW7" s="318"/>
      <c r="DX7" s="318"/>
      <c r="DY7" s="318"/>
      <c r="DZ7" s="318"/>
      <c r="EA7" s="318"/>
      <c r="EB7" s="318"/>
      <c r="EC7" s="318"/>
      <c r="ED7" s="318"/>
      <c r="EE7" s="318"/>
      <c r="EF7" s="318"/>
      <c r="EG7" s="318"/>
      <c r="EH7" s="318"/>
      <c r="EI7" s="318"/>
      <c r="EJ7" s="318"/>
      <c r="EK7" s="318"/>
      <c r="EL7" s="318"/>
      <c r="EM7" s="318"/>
      <c r="EN7" s="318"/>
      <c r="EO7" s="318"/>
      <c r="EP7" s="318"/>
      <c r="EQ7" s="318"/>
      <c r="ER7" s="318"/>
      <c r="ES7" s="318"/>
      <c r="ET7" s="318"/>
      <c r="EU7" s="318"/>
      <c r="EV7" s="318"/>
      <c r="EW7" s="318"/>
      <c r="EX7" s="318"/>
      <c r="EY7" s="318"/>
      <c r="EZ7" s="318"/>
      <c r="FA7" s="318"/>
      <c r="FB7" s="318"/>
      <c r="FC7" s="318"/>
      <c r="FD7" s="318"/>
      <c r="FE7" s="318"/>
      <c r="FF7" s="318"/>
      <c r="FG7" s="318"/>
      <c r="FH7" s="318"/>
      <c r="FI7" s="318"/>
      <c r="FJ7" s="318"/>
      <c r="FK7" s="318"/>
      <c r="FL7" s="318"/>
      <c r="FM7" s="318"/>
      <c r="FN7" s="318"/>
      <c r="FO7" s="318"/>
      <c r="FP7" s="318"/>
      <c r="FQ7" s="318"/>
      <c r="FR7" s="318"/>
      <c r="FS7" s="318"/>
      <c r="FT7" s="318"/>
      <c r="FU7" s="318"/>
      <c r="FV7" s="318"/>
      <c r="FW7" s="318"/>
      <c r="FX7" s="318"/>
      <c r="FY7" s="318"/>
      <c r="FZ7" s="318"/>
      <c r="GA7" s="318"/>
      <c r="GB7" s="318"/>
      <c r="GC7" s="318"/>
      <c r="GD7" s="318"/>
      <c r="GE7" s="318"/>
      <c r="GF7" s="318"/>
      <c r="GG7" s="318"/>
      <c r="GH7" s="318"/>
      <c r="GI7" s="318"/>
      <c r="GJ7" s="318"/>
      <c r="GK7" s="318"/>
      <c r="GL7" s="318"/>
      <c r="GM7" s="318"/>
      <c r="GN7" s="318"/>
      <c r="GO7" s="318"/>
      <c r="GP7" s="318"/>
      <c r="GQ7" s="318"/>
      <c r="GR7" s="318"/>
      <c r="GS7" s="318"/>
      <c r="GT7" s="318"/>
      <c r="GU7" s="318"/>
      <c r="GV7" s="318"/>
      <c r="GW7" s="318"/>
      <c r="GX7" s="318"/>
      <c r="GY7" s="318"/>
      <c r="GZ7" s="318"/>
      <c r="HA7" s="318"/>
      <c r="HB7" s="318"/>
      <c r="HC7" s="318"/>
      <c r="HD7" s="318"/>
      <c r="HE7" s="318"/>
      <c r="HF7" s="318"/>
      <c r="HG7" s="318"/>
      <c r="HH7" s="318"/>
      <c r="HI7" s="318"/>
      <c r="HJ7" s="318"/>
      <c r="HK7" s="318"/>
      <c r="HL7" s="318"/>
      <c r="HM7" s="318"/>
      <c r="HN7" s="318"/>
      <c r="HO7" s="318"/>
      <c r="HP7" s="318"/>
      <c r="HQ7" s="318"/>
      <c r="HR7" s="318"/>
      <c r="HS7" s="318"/>
      <c r="HT7" s="318"/>
      <c r="HU7" s="318"/>
      <c r="HV7" s="318"/>
      <c r="HW7" s="318"/>
      <c r="HX7" s="318"/>
      <c r="HY7" s="318"/>
      <c r="HZ7" s="318"/>
      <c r="IA7" s="318"/>
      <c r="IB7" s="318"/>
      <c r="IC7" s="318"/>
      <c r="ID7" s="318"/>
      <c r="IE7" s="318"/>
      <c r="IF7" s="318"/>
      <c r="IG7" s="318"/>
      <c r="IH7" s="318"/>
      <c r="II7" s="318"/>
      <c r="IJ7" s="318"/>
      <c r="IK7" s="318"/>
      <c r="IL7" s="318"/>
      <c r="IM7" s="318"/>
      <c r="IN7" s="318"/>
      <c r="IO7" s="318"/>
      <c r="IP7" s="318"/>
      <c r="IQ7" s="318"/>
      <c r="IR7" s="318"/>
      <c r="IS7" s="318"/>
      <c r="IT7" s="318"/>
      <c r="IU7" s="318"/>
      <c r="IV7" s="318"/>
      <c r="IW7" s="318"/>
      <c r="IX7" s="318"/>
      <c r="IY7" s="318"/>
      <c r="IZ7" s="318"/>
      <c r="JA7" s="318"/>
      <c r="JB7" s="318"/>
      <c r="JC7" s="318"/>
      <c r="JD7" s="318"/>
      <c r="JE7" s="318"/>
      <c r="JF7" s="318"/>
      <c r="JG7" s="318"/>
      <c r="JH7" s="318"/>
      <c r="JI7" s="318"/>
      <c r="JJ7" s="318"/>
      <c r="JK7" s="318"/>
      <c r="JL7" s="318"/>
      <c r="JM7" s="318"/>
      <c r="JN7" s="318"/>
      <c r="JO7" s="318"/>
      <c r="JP7" s="318"/>
      <c r="JQ7" s="318"/>
      <c r="JR7" s="318"/>
      <c r="JS7" s="318"/>
      <c r="JT7" s="318"/>
      <c r="JU7" s="318"/>
      <c r="JV7" s="318"/>
      <c r="JW7" s="318"/>
      <c r="JX7" s="318"/>
      <c r="JY7" s="318"/>
      <c r="JZ7" s="318"/>
      <c r="KA7" s="318"/>
      <c r="KB7" s="318"/>
      <c r="KC7" s="318"/>
      <c r="KD7" s="318"/>
      <c r="KE7" s="318"/>
      <c r="KF7" s="318"/>
      <c r="KG7" s="318"/>
      <c r="KH7" s="318"/>
      <c r="KI7" s="318"/>
      <c r="KJ7" s="318"/>
      <c r="KK7" s="318"/>
      <c r="KL7" s="318"/>
      <c r="KM7" s="318"/>
      <c r="KN7" s="318"/>
      <c r="KO7" s="318"/>
      <c r="KP7" s="318"/>
      <c r="KQ7" s="318"/>
      <c r="KR7" s="318"/>
      <c r="KS7" s="318"/>
      <c r="KT7" s="318"/>
      <c r="KU7" s="318"/>
      <c r="KV7" s="318"/>
      <c r="KW7" s="318"/>
      <c r="KX7" s="318"/>
      <c r="KY7" s="318"/>
      <c r="KZ7" s="318"/>
      <c r="LA7" s="318"/>
      <c r="LB7" s="318"/>
      <c r="LC7" s="318"/>
      <c r="LD7" s="318"/>
      <c r="LE7" s="318"/>
      <c r="LF7" s="318"/>
      <c r="LG7" s="318"/>
      <c r="LH7" s="318"/>
      <c r="LI7" s="318"/>
      <c r="LJ7" s="318"/>
      <c r="LK7" s="318"/>
      <c r="LL7" s="318"/>
      <c r="LM7" s="318"/>
      <c r="LN7" s="318"/>
      <c r="LO7" s="318"/>
      <c r="LP7" s="318"/>
      <c r="LQ7" s="318"/>
      <c r="LR7" s="318"/>
      <c r="LS7" s="318"/>
      <c r="LT7" s="318"/>
      <c r="LU7" s="318"/>
      <c r="LV7" s="318"/>
      <c r="LW7" s="318"/>
      <c r="LX7" s="318"/>
      <c r="LY7" s="318"/>
      <c r="LZ7" s="318"/>
      <c r="MA7" s="318"/>
      <c r="MB7" s="318"/>
      <c r="MC7" s="318"/>
      <c r="MD7" s="318"/>
      <c r="ME7" s="318"/>
      <c r="MF7" s="318"/>
      <c r="MG7" s="318"/>
      <c r="MH7" s="318"/>
      <c r="MI7" s="318"/>
      <c r="MJ7" s="318"/>
      <c r="MK7" s="318"/>
      <c r="ML7" s="318"/>
      <c r="MM7" s="318"/>
      <c r="MN7" s="318"/>
      <c r="MO7" s="318"/>
      <c r="MP7" s="318"/>
      <c r="MQ7" s="318"/>
      <c r="MR7" s="318"/>
      <c r="MS7" s="318"/>
      <c r="MT7" s="318"/>
      <c r="MU7" s="318"/>
      <c r="MV7" s="318"/>
      <c r="MW7" s="318"/>
      <c r="MX7" s="318"/>
      <c r="MY7" s="318"/>
      <c r="MZ7" s="318"/>
      <c r="NA7" s="318"/>
      <c r="NB7" s="318"/>
      <c r="NC7" s="318"/>
      <c r="ND7" s="318"/>
      <c r="NE7" s="318"/>
      <c r="NF7" s="318"/>
      <c r="NG7" s="318"/>
      <c r="NH7" s="318"/>
      <c r="NI7" s="318"/>
      <c r="NJ7" s="318"/>
      <c r="NK7" s="318"/>
      <c r="NL7" s="318"/>
      <c r="NM7" s="318"/>
      <c r="NN7" s="318"/>
      <c r="NO7" s="318"/>
      <c r="NP7" s="318"/>
      <c r="NQ7" s="318"/>
      <c r="NR7" s="318"/>
      <c r="NS7" s="318"/>
      <c r="NT7" s="318"/>
      <c r="NU7" s="318"/>
      <c r="NV7" s="318"/>
      <c r="NW7" s="318"/>
      <c r="NX7" s="318"/>
      <c r="NY7" s="318"/>
      <c r="NZ7" s="318"/>
      <c r="OA7" s="318"/>
      <c r="OB7" s="318"/>
      <c r="OC7" s="318"/>
      <c r="OD7" s="318"/>
      <c r="OE7" s="318"/>
      <c r="OF7" s="318"/>
      <c r="OG7" s="318"/>
      <c r="OH7" s="318"/>
      <c r="OI7" s="318"/>
      <c r="OJ7" s="318"/>
      <c r="OK7" s="318"/>
      <c r="OL7" s="318"/>
      <c r="OM7" s="318"/>
      <c r="ON7" s="318"/>
      <c r="OO7" s="318"/>
      <c r="OP7" s="318"/>
      <c r="OQ7" s="318"/>
      <c r="OR7" s="318"/>
      <c r="OS7" s="318"/>
      <c r="OT7" s="318"/>
      <c r="OU7" s="318"/>
      <c r="OV7" s="318"/>
      <c r="OW7" s="318"/>
      <c r="OX7" s="318"/>
      <c r="OY7" s="318"/>
      <c r="OZ7" s="318"/>
      <c r="PA7" s="318"/>
      <c r="PB7" s="318"/>
      <c r="PC7" s="318"/>
      <c r="PD7" s="318"/>
      <c r="PE7" s="318"/>
      <c r="PF7" s="318"/>
      <c r="PG7" s="318"/>
      <c r="PH7" s="318"/>
      <c r="PI7" s="318"/>
      <c r="PJ7" s="318"/>
      <c r="PK7" s="318"/>
      <c r="PL7" s="318"/>
      <c r="PM7" s="318"/>
      <c r="PN7" s="318"/>
      <c r="PO7" s="318"/>
      <c r="PP7" s="318"/>
      <c r="PQ7" s="318"/>
      <c r="PR7" s="318"/>
      <c r="PS7" s="318"/>
      <c r="PT7" s="318"/>
      <c r="PU7" s="318"/>
      <c r="PV7" s="318"/>
      <c r="PW7" s="318"/>
      <c r="PX7" s="318"/>
      <c r="PY7" s="318"/>
      <c r="PZ7" s="318"/>
      <c r="QA7" s="318"/>
      <c r="QB7" s="318"/>
      <c r="QC7" s="318"/>
      <c r="QD7" s="318"/>
      <c r="QE7" s="318"/>
      <c r="QF7" s="318"/>
      <c r="QG7" s="318"/>
      <c r="QH7" s="318"/>
      <c r="QI7" s="318"/>
      <c r="QJ7" s="318"/>
      <c r="QK7" s="318"/>
      <c r="QL7" s="318"/>
      <c r="QM7" s="318"/>
      <c r="QN7" s="318"/>
      <c r="QO7" s="318"/>
      <c r="QP7" s="318"/>
      <c r="QQ7" s="318"/>
      <c r="QR7" s="318"/>
      <c r="QS7" s="318"/>
      <c r="QT7" s="318"/>
      <c r="QU7" s="318"/>
      <c r="QV7" s="318"/>
      <c r="QW7" s="318"/>
      <c r="QX7" s="318"/>
      <c r="QY7" s="318"/>
      <c r="QZ7" s="318"/>
      <c r="RA7" s="318"/>
      <c r="RB7" s="318"/>
      <c r="RC7" s="318"/>
      <c r="RD7" s="318"/>
      <c r="RE7" s="318"/>
      <c r="RF7" s="318"/>
      <c r="RG7" s="318"/>
      <c r="RH7" s="318"/>
      <c r="RI7" s="318"/>
      <c r="RJ7" s="318"/>
      <c r="RK7" s="318"/>
      <c r="RL7" s="318"/>
      <c r="RM7" s="318"/>
      <c r="RN7" s="318"/>
      <c r="RO7" s="318"/>
      <c r="RP7" s="318"/>
      <c r="RQ7" s="318"/>
      <c r="RR7" s="318"/>
      <c r="RS7" s="318"/>
      <c r="RT7" s="318"/>
      <c r="RU7" s="318"/>
      <c r="RV7" s="318"/>
      <c r="RW7" s="318"/>
      <c r="RX7" s="318"/>
      <c r="RY7" s="318"/>
      <c r="RZ7" s="318"/>
      <c r="SA7" s="318"/>
      <c r="SB7" s="318"/>
      <c r="SC7" s="318"/>
      <c r="SD7" s="318"/>
      <c r="SE7" s="318"/>
      <c r="SF7" s="318"/>
      <c r="SG7" s="318"/>
      <c r="SH7" s="318"/>
      <c r="SI7" s="318"/>
      <c r="SJ7" s="318"/>
      <c r="SK7" s="318"/>
      <c r="SL7" s="318"/>
      <c r="SM7" s="318"/>
      <c r="SN7" s="318"/>
      <c r="SO7" s="318"/>
      <c r="SP7" s="318"/>
      <c r="SQ7" s="318"/>
      <c r="SR7" s="318"/>
      <c r="SS7" s="318"/>
      <c r="ST7" s="318"/>
      <c r="SU7" s="318"/>
      <c r="SV7" s="318"/>
      <c r="SW7" s="318"/>
      <c r="SX7" s="318"/>
      <c r="SY7" s="318"/>
      <c r="SZ7" s="318"/>
      <c r="TA7" s="318"/>
      <c r="TB7" s="318"/>
      <c r="TC7" s="318"/>
      <c r="TD7" s="318"/>
      <c r="TE7" s="318"/>
      <c r="TF7" s="318"/>
      <c r="TG7" s="318"/>
      <c r="TH7" s="318"/>
      <c r="TI7" s="318"/>
      <c r="TJ7" s="318"/>
      <c r="TK7" s="318"/>
      <c r="TL7" s="318"/>
      <c r="TM7" s="318"/>
      <c r="TN7" s="318"/>
      <c r="TO7" s="318"/>
      <c r="TP7" s="318"/>
      <c r="TQ7" s="318"/>
      <c r="TR7" s="318"/>
      <c r="TS7" s="318"/>
      <c r="TT7" s="318"/>
      <c r="TU7" s="318"/>
      <c r="TV7" s="318"/>
      <c r="TW7" s="318"/>
      <c r="TX7" s="318"/>
      <c r="TY7" s="318"/>
      <c r="TZ7" s="318"/>
      <c r="UA7" s="318"/>
      <c r="UB7" s="318"/>
      <c r="UC7" s="318"/>
      <c r="UD7" s="318"/>
      <c r="UE7" s="318"/>
      <c r="UF7" s="318"/>
      <c r="UG7" s="318"/>
      <c r="UH7" s="318"/>
      <c r="UI7" s="318"/>
      <c r="UJ7" s="318"/>
      <c r="UK7" s="318"/>
      <c r="UL7" s="318"/>
      <c r="UM7" s="318"/>
      <c r="UN7" s="318"/>
      <c r="UO7" s="318"/>
      <c r="UP7" s="318"/>
      <c r="UQ7" s="318"/>
      <c r="UR7" s="318"/>
      <c r="US7" s="318"/>
      <c r="UT7" s="318"/>
      <c r="UU7" s="318"/>
      <c r="UV7" s="318"/>
      <c r="UW7" s="318"/>
      <c r="UX7" s="318"/>
      <c r="UY7" s="318"/>
      <c r="UZ7" s="318"/>
      <c r="VA7" s="318"/>
      <c r="VB7" s="318"/>
      <c r="VC7" s="318"/>
      <c r="VD7" s="318"/>
      <c r="VE7" s="318"/>
      <c r="VF7" s="318"/>
      <c r="VG7" s="318"/>
      <c r="VH7" s="318"/>
      <c r="VI7" s="318"/>
      <c r="VJ7" s="318"/>
      <c r="VK7" s="318"/>
      <c r="VL7" s="318"/>
      <c r="VM7" s="318"/>
      <c r="VN7" s="318"/>
      <c r="VO7" s="318"/>
      <c r="VP7" s="318"/>
      <c r="VQ7" s="318"/>
      <c r="VR7" s="318"/>
      <c r="VS7" s="318"/>
      <c r="VT7" s="318"/>
      <c r="VU7" s="318"/>
      <c r="VV7" s="318"/>
      <c r="VW7" s="318"/>
      <c r="VX7" s="318"/>
      <c r="VY7" s="318"/>
      <c r="VZ7" s="318"/>
      <c r="WA7" s="318"/>
      <c r="WB7" s="318"/>
      <c r="WC7" s="318"/>
      <c r="WD7" s="318"/>
      <c r="WE7" s="318"/>
      <c r="WF7" s="318"/>
      <c r="WG7" s="318"/>
      <c r="WH7" s="318"/>
      <c r="WI7" s="318"/>
      <c r="WJ7" s="318"/>
      <c r="WK7" s="318"/>
      <c r="WL7" s="318"/>
      <c r="WM7" s="318"/>
      <c r="WN7" s="318"/>
      <c r="WO7" s="318"/>
      <c r="WP7" s="318"/>
      <c r="WQ7" s="318"/>
      <c r="WR7" s="318"/>
      <c r="WS7" s="318"/>
      <c r="WT7" s="318"/>
      <c r="WU7" s="318"/>
      <c r="WV7" s="318"/>
      <c r="WW7" s="318"/>
      <c r="WX7" s="318"/>
      <c r="WY7" s="318"/>
      <c r="WZ7" s="318"/>
      <c r="XA7" s="318"/>
      <c r="XB7" s="318"/>
      <c r="XC7" s="318"/>
      <c r="XD7" s="318"/>
      <c r="XE7" s="318"/>
      <c r="XF7" s="318"/>
      <c r="XG7" s="318"/>
      <c r="XH7" s="318"/>
      <c r="XI7" s="318"/>
      <c r="XJ7" s="318"/>
      <c r="XK7" s="318"/>
      <c r="XL7" s="318"/>
      <c r="XM7" s="318"/>
      <c r="XN7" s="318"/>
      <c r="XO7" s="318"/>
      <c r="XP7" s="318"/>
      <c r="XQ7" s="318"/>
      <c r="XR7" s="318"/>
      <c r="XS7" s="318"/>
      <c r="XT7" s="318"/>
      <c r="XU7" s="318"/>
      <c r="XV7" s="318"/>
      <c r="XW7" s="318"/>
      <c r="XX7" s="318"/>
      <c r="XY7" s="318"/>
      <c r="XZ7" s="318"/>
      <c r="YA7" s="318"/>
      <c r="YB7" s="318"/>
      <c r="YC7" s="318"/>
      <c r="YD7" s="318"/>
      <c r="YE7" s="318"/>
      <c r="YF7" s="318"/>
      <c r="YG7" s="318"/>
      <c r="YH7" s="318"/>
      <c r="YI7" s="318"/>
      <c r="YJ7" s="318"/>
      <c r="YK7" s="318"/>
      <c r="YL7" s="318"/>
      <c r="YM7" s="318"/>
      <c r="YN7" s="318"/>
      <c r="YO7" s="318"/>
      <c r="YP7" s="318"/>
      <c r="YQ7" s="318"/>
      <c r="YR7" s="318"/>
      <c r="YS7" s="318"/>
      <c r="YT7" s="318"/>
      <c r="YU7" s="318"/>
      <c r="YV7" s="318"/>
      <c r="YW7" s="318"/>
      <c r="YX7" s="318"/>
      <c r="YY7" s="318"/>
      <c r="YZ7" s="318"/>
      <c r="ZA7" s="318"/>
      <c r="ZB7" s="318"/>
      <c r="ZC7" s="318"/>
      <c r="ZD7" s="318"/>
      <c r="ZE7" s="318"/>
      <c r="ZF7" s="318"/>
      <c r="ZG7" s="318"/>
      <c r="ZH7" s="318"/>
      <c r="ZI7" s="318"/>
      <c r="ZJ7" s="318"/>
      <c r="ZK7" s="318"/>
      <c r="ZL7" s="318"/>
      <c r="ZM7" s="318"/>
      <c r="ZN7" s="318"/>
      <c r="ZO7" s="318"/>
      <c r="ZP7" s="318"/>
      <c r="ZQ7" s="318"/>
      <c r="ZR7" s="318"/>
      <c r="ZS7" s="318"/>
      <c r="ZT7" s="318"/>
      <c r="ZU7" s="318"/>
      <c r="ZV7" s="318"/>
      <c r="ZW7" s="318"/>
      <c r="ZX7" s="318"/>
      <c r="ZY7" s="318"/>
      <c r="ZZ7" s="318"/>
      <c r="AAA7" s="318"/>
      <c r="AAB7" s="318"/>
      <c r="AAC7" s="318"/>
      <c r="AAD7" s="318"/>
      <c r="AAE7" s="318"/>
      <c r="AAF7" s="318"/>
      <c r="AAG7" s="318"/>
      <c r="AAH7" s="318"/>
      <c r="AAI7" s="318"/>
      <c r="AAJ7" s="318"/>
      <c r="AAK7" s="318"/>
      <c r="AAL7" s="318"/>
      <c r="AAM7" s="318"/>
      <c r="AAN7" s="318"/>
      <c r="AAO7" s="318"/>
      <c r="AAP7" s="318"/>
      <c r="AAQ7" s="318"/>
      <c r="AAR7" s="318"/>
      <c r="AAS7" s="318"/>
      <c r="AAT7" s="318"/>
      <c r="AAU7" s="318"/>
      <c r="AAV7" s="318"/>
      <c r="AAW7" s="318"/>
      <c r="AAX7" s="318"/>
      <c r="AAY7" s="318"/>
      <c r="AAZ7" s="318"/>
      <c r="ABA7" s="318"/>
      <c r="ABB7" s="318"/>
      <c r="ABC7" s="318"/>
      <c r="ABD7" s="318"/>
      <c r="ABE7" s="318"/>
      <c r="ABF7" s="318"/>
      <c r="ABG7" s="318"/>
      <c r="ABH7" s="318"/>
      <c r="ABI7" s="318"/>
      <c r="ABJ7" s="318"/>
      <c r="ABK7" s="318"/>
      <c r="ABL7" s="318"/>
      <c r="ABM7" s="318"/>
      <c r="ABN7" s="318"/>
      <c r="ABO7" s="318"/>
      <c r="ABP7" s="318"/>
      <c r="ABQ7" s="318"/>
      <c r="ABR7" s="318"/>
      <c r="ABS7" s="318"/>
      <c r="ABT7" s="318"/>
      <c r="ABU7" s="318"/>
      <c r="ABV7" s="318"/>
      <c r="ABW7" s="318"/>
      <c r="ABX7" s="318"/>
      <c r="ABY7" s="318"/>
      <c r="ABZ7" s="318"/>
      <c r="ACA7" s="318"/>
      <c r="ACB7" s="318"/>
      <c r="ACC7" s="318"/>
      <c r="ACD7" s="318"/>
      <c r="ACE7" s="318"/>
      <c r="ACF7" s="318"/>
      <c r="ACG7" s="318"/>
      <c r="ACH7" s="318"/>
      <c r="ACI7" s="318"/>
      <c r="ACJ7" s="318"/>
      <c r="ACK7" s="318"/>
      <c r="ACL7" s="318"/>
      <c r="ACM7" s="318"/>
      <c r="ACN7" s="318"/>
      <c r="ACO7" s="318"/>
      <c r="ACP7" s="318"/>
      <c r="ACQ7" s="318"/>
      <c r="ACR7" s="318"/>
      <c r="ACS7" s="318"/>
      <c r="ACT7" s="318"/>
      <c r="ACU7" s="318"/>
      <c r="ACV7" s="318"/>
      <c r="ACW7" s="318"/>
      <c r="ACX7" s="318"/>
      <c r="ACY7" s="318"/>
      <c r="ACZ7" s="318"/>
      <c r="ADA7" s="318"/>
      <c r="ADB7" s="318"/>
      <c r="ADC7" s="318"/>
      <c r="ADD7" s="318"/>
      <c r="ADE7" s="318"/>
      <c r="ADF7" s="318"/>
      <c r="ADG7" s="318"/>
      <c r="ADH7" s="318"/>
      <c r="ADI7" s="318"/>
      <c r="ADJ7" s="318"/>
      <c r="ADK7" s="318"/>
      <c r="ADL7" s="318"/>
      <c r="ADM7" s="318"/>
      <c r="ADN7" s="318"/>
      <c r="ADO7" s="318"/>
      <c r="ADP7" s="318"/>
      <c r="ADQ7" s="318"/>
      <c r="ADR7" s="318"/>
      <c r="ADS7" s="318"/>
      <c r="ADT7" s="318"/>
      <c r="ADU7" s="318"/>
      <c r="ADV7" s="318"/>
      <c r="ADW7" s="318"/>
      <c r="ADX7" s="318"/>
      <c r="ADY7" s="318"/>
      <c r="ADZ7" s="318"/>
      <c r="AEA7" s="318"/>
      <c r="AEB7" s="318"/>
      <c r="AEC7" s="318"/>
      <c r="AED7" s="318"/>
      <c r="AEE7" s="318"/>
      <c r="AEF7" s="318"/>
      <c r="AEG7" s="318"/>
      <c r="AEH7" s="318"/>
      <c r="AEI7" s="318"/>
      <c r="AEJ7" s="318"/>
      <c r="AEK7" s="318"/>
      <c r="AEL7" s="318"/>
      <c r="AEM7" s="318"/>
      <c r="AEN7" s="318"/>
      <c r="AEO7" s="318"/>
      <c r="AEP7" s="318"/>
      <c r="AEQ7" s="318"/>
      <c r="AER7" s="318"/>
      <c r="AES7" s="318"/>
      <c r="AET7" s="318"/>
      <c r="AEU7" s="318"/>
      <c r="AEV7" s="318"/>
      <c r="AEW7" s="318"/>
      <c r="AEX7" s="318"/>
      <c r="AEY7" s="318"/>
      <c r="AEZ7" s="318"/>
      <c r="AFA7" s="318"/>
      <c r="AFB7" s="318"/>
      <c r="AFC7" s="318"/>
      <c r="AFD7" s="318"/>
      <c r="AFE7" s="318"/>
      <c r="AFF7" s="318"/>
      <c r="AFG7" s="318"/>
      <c r="AFH7" s="318"/>
      <c r="AFI7" s="318"/>
      <c r="AFJ7" s="318"/>
      <c r="AFK7" s="318"/>
      <c r="AFL7" s="318"/>
      <c r="AFM7" s="318"/>
      <c r="AFN7" s="318"/>
      <c r="AFO7" s="318"/>
      <c r="AFP7" s="318"/>
      <c r="AFQ7" s="318"/>
      <c r="AFR7" s="318"/>
      <c r="AFS7" s="318"/>
      <c r="AFT7" s="318"/>
      <c r="AFU7" s="318"/>
      <c r="AFV7" s="318"/>
      <c r="AFW7" s="318"/>
      <c r="AFX7" s="318"/>
      <c r="AFY7" s="318"/>
      <c r="AFZ7" s="318"/>
      <c r="AGA7" s="318"/>
      <c r="AGB7" s="318"/>
      <c r="AGC7" s="318"/>
      <c r="AGD7" s="318"/>
      <c r="AGE7" s="318"/>
      <c r="AGF7" s="318"/>
      <c r="AGG7" s="318"/>
      <c r="AGH7" s="318"/>
      <c r="AGI7" s="318"/>
      <c r="AGJ7" s="318"/>
      <c r="AGK7" s="318"/>
      <c r="AGL7" s="318"/>
      <c r="AGM7" s="318"/>
      <c r="AGN7" s="318"/>
      <c r="AGO7" s="318"/>
      <c r="AGP7" s="318"/>
      <c r="AGQ7" s="318"/>
      <c r="AGR7" s="318"/>
      <c r="AGS7" s="318"/>
      <c r="AGT7" s="318"/>
      <c r="AGU7" s="318"/>
      <c r="AGV7" s="318"/>
      <c r="AGW7" s="318"/>
      <c r="AGX7" s="318"/>
      <c r="AGY7" s="318"/>
      <c r="AGZ7" s="318"/>
      <c r="AHA7" s="318"/>
      <c r="AHB7" s="318"/>
      <c r="AHC7" s="318"/>
      <c r="AHD7" s="318"/>
      <c r="AHE7" s="318"/>
      <c r="AHF7" s="318"/>
      <c r="AHG7" s="318"/>
      <c r="AHH7" s="318"/>
      <c r="AHI7" s="318"/>
      <c r="AHJ7" s="318"/>
      <c r="AHK7" s="318"/>
      <c r="AHL7" s="318"/>
      <c r="AHM7" s="318"/>
      <c r="AHN7" s="318"/>
      <c r="AHO7" s="318"/>
      <c r="AHP7" s="318"/>
      <c r="AHQ7" s="318"/>
      <c r="AHR7" s="318"/>
      <c r="AHS7" s="318"/>
      <c r="AHT7" s="318"/>
      <c r="AHU7" s="318"/>
      <c r="AHV7" s="318"/>
      <c r="AHW7" s="318"/>
      <c r="AHX7" s="318"/>
      <c r="AHY7" s="318"/>
      <c r="AHZ7" s="318"/>
      <c r="AIA7" s="318"/>
      <c r="AIB7" s="318"/>
      <c r="AIC7" s="318"/>
      <c r="AID7" s="318"/>
      <c r="AIE7" s="318"/>
      <c r="AIF7" s="318"/>
      <c r="AIG7" s="318"/>
      <c r="AIH7" s="318"/>
      <c r="AII7" s="318"/>
      <c r="AIJ7" s="318"/>
      <c r="AIK7" s="318"/>
      <c r="AIL7" s="318"/>
      <c r="AIM7" s="318"/>
      <c r="AIN7" s="318"/>
      <c r="AIO7" s="318"/>
      <c r="AIP7" s="318"/>
      <c r="AIQ7" s="318"/>
      <c r="AIR7" s="318"/>
      <c r="AIS7" s="318"/>
      <c r="AIT7" s="318"/>
      <c r="AIU7" s="318"/>
      <c r="AIV7" s="318"/>
      <c r="AIW7" s="318"/>
      <c r="AIX7" s="318"/>
      <c r="AIY7" s="318"/>
      <c r="AIZ7" s="318"/>
      <c r="AJA7" s="318"/>
      <c r="AJB7" s="318"/>
      <c r="AJC7" s="318"/>
      <c r="AJD7" s="318"/>
      <c r="AJE7" s="318"/>
      <c r="AJF7" s="318"/>
      <c r="AJG7" s="318"/>
      <c r="AJH7" s="318"/>
      <c r="AJI7" s="318"/>
      <c r="AJJ7" s="318"/>
      <c r="AJK7" s="318"/>
      <c r="AJL7" s="318"/>
      <c r="AJM7" s="318"/>
      <c r="AJN7" s="318"/>
      <c r="AJO7" s="318"/>
      <c r="AJP7" s="318"/>
      <c r="AJQ7" s="318"/>
      <c r="AJR7" s="318"/>
      <c r="AJS7" s="318"/>
      <c r="AJT7" s="318"/>
      <c r="AJU7" s="318"/>
      <c r="AJV7" s="318"/>
      <c r="AJW7" s="318"/>
      <c r="AJX7" s="318"/>
      <c r="AJY7" s="318"/>
      <c r="AJZ7" s="318"/>
      <c r="AKA7" s="318"/>
      <c r="AKB7" s="318"/>
      <c r="AKC7" s="318"/>
      <c r="AKD7" s="318"/>
      <c r="AKE7" s="318"/>
      <c r="AKF7" s="318"/>
      <c r="AKG7" s="318"/>
      <c r="AKH7" s="318"/>
      <c r="AKI7" s="318"/>
      <c r="AKJ7" s="318"/>
      <c r="AKK7" s="318"/>
      <c r="AKL7" s="318"/>
      <c r="AKM7" s="318"/>
      <c r="AKN7" s="318"/>
      <c r="AKO7" s="318"/>
      <c r="AKP7" s="318"/>
      <c r="AKQ7" s="318"/>
      <c r="AKR7" s="318"/>
      <c r="AKS7" s="318"/>
      <c r="AKT7" s="318"/>
      <c r="AKU7" s="318"/>
      <c r="AKV7" s="318"/>
      <c r="AKW7" s="318"/>
      <c r="AKX7" s="318"/>
      <c r="AKY7" s="318"/>
      <c r="AKZ7" s="318"/>
      <c r="ALA7" s="318"/>
      <c r="ALB7" s="318"/>
      <c r="ALC7" s="318"/>
    </row>
    <row r="8" spans="1:991" ht="106.5" customHeight="1" thickBot="1" x14ac:dyDescent="0.3">
      <c r="A8" s="318"/>
      <c r="B8" s="319"/>
      <c r="C8" s="554"/>
      <c r="D8" s="318"/>
      <c r="E8" s="546"/>
      <c r="F8" s="546"/>
      <c r="G8" s="546"/>
      <c r="H8" s="546"/>
      <c r="I8" s="546"/>
      <c r="J8" s="546"/>
      <c r="K8" s="547"/>
      <c r="L8" s="339" t="s">
        <v>75</v>
      </c>
      <c r="M8" s="339" t="s">
        <v>76</v>
      </c>
      <c r="N8" s="339" t="s">
        <v>77</v>
      </c>
      <c r="O8" s="339" t="s">
        <v>78</v>
      </c>
      <c r="P8" s="343" t="s">
        <v>79</v>
      </c>
      <c r="Q8" s="343" t="s">
        <v>80</v>
      </c>
      <c r="R8" s="343" t="s">
        <v>14</v>
      </c>
      <c r="S8" s="339" t="s">
        <v>419</v>
      </c>
      <c r="T8" s="339" t="s">
        <v>83</v>
      </c>
      <c r="U8" s="344" t="s">
        <v>84</v>
      </c>
      <c r="V8" s="344" t="s">
        <v>85</v>
      </c>
      <c r="W8" s="344" t="s">
        <v>86</v>
      </c>
      <c r="X8" s="344" t="s">
        <v>420</v>
      </c>
      <c r="Y8" s="344" t="s">
        <v>421</v>
      </c>
      <c r="Z8" s="344" t="s">
        <v>87</v>
      </c>
      <c r="AA8" s="348" t="s">
        <v>89</v>
      </c>
      <c r="AB8" s="339" t="s">
        <v>90</v>
      </c>
      <c r="AC8" s="339" t="s">
        <v>91</v>
      </c>
      <c r="AD8" s="339" t="s">
        <v>92</v>
      </c>
      <c r="AE8" s="339" t="s">
        <v>93</v>
      </c>
      <c r="AF8" s="339" t="s">
        <v>94</v>
      </c>
      <c r="AG8" s="339" t="s">
        <v>95</v>
      </c>
      <c r="AH8" s="339" t="s">
        <v>96</v>
      </c>
      <c r="AI8" s="339" t="s">
        <v>97</v>
      </c>
      <c r="AJ8" s="346" t="s">
        <v>204</v>
      </c>
      <c r="AK8" s="346" t="s">
        <v>205</v>
      </c>
      <c r="AL8" s="346" t="s">
        <v>422</v>
      </c>
      <c r="AM8" s="346" t="s">
        <v>423</v>
      </c>
      <c r="AN8" s="346" t="s">
        <v>22</v>
      </c>
      <c r="AO8" s="346" t="s">
        <v>207</v>
      </c>
      <c r="AP8" s="339" t="s">
        <v>99</v>
      </c>
      <c r="AQ8" s="339" t="s">
        <v>424</v>
      </c>
      <c r="AR8" s="339" t="s">
        <v>425</v>
      </c>
      <c r="AS8" s="346" t="s">
        <v>426</v>
      </c>
      <c r="AT8" s="346" t="s">
        <v>107</v>
      </c>
      <c r="AU8" s="346" t="s">
        <v>108</v>
      </c>
      <c r="AV8" s="346" t="s">
        <v>196</v>
      </c>
      <c r="AW8" s="339" t="s">
        <v>102</v>
      </c>
      <c r="AX8" s="347" t="s">
        <v>103</v>
      </c>
      <c r="AY8" s="544"/>
      <c r="AZ8" s="545"/>
      <c r="BA8" s="338"/>
      <c r="BB8" s="339"/>
      <c r="BC8" s="318"/>
      <c r="BD8" s="318"/>
      <c r="BE8" s="318"/>
      <c r="BF8" s="318"/>
      <c r="BG8" s="318"/>
      <c r="BH8" s="318"/>
      <c r="BI8" s="318"/>
      <c r="BJ8" s="318"/>
      <c r="BK8" s="318"/>
      <c r="BL8" s="318"/>
      <c r="BM8" s="318"/>
      <c r="BN8" s="318"/>
      <c r="BO8" s="318"/>
      <c r="BP8" s="318"/>
      <c r="BQ8" s="318"/>
      <c r="BR8" s="318"/>
      <c r="BS8" s="318"/>
      <c r="BT8" s="318"/>
      <c r="BU8" s="318"/>
      <c r="BV8" s="318"/>
      <c r="BW8" s="318"/>
      <c r="BX8" s="318"/>
      <c r="BY8" s="318"/>
      <c r="BZ8" s="318"/>
      <c r="CA8" s="318"/>
      <c r="CB8" s="318"/>
      <c r="CC8" s="318"/>
      <c r="CD8" s="318"/>
      <c r="CE8" s="318"/>
      <c r="CF8" s="318"/>
      <c r="CG8" s="318"/>
      <c r="CH8" s="318"/>
      <c r="CI8" s="318"/>
      <c r="CJ8" s="318"/>
      <c r="CK8" s="318"/>
      <c r="CL8" s="318"/>
      <c r="CM8" s="318"/>
      <c r="CN8" s="318"/>
      <c r="CO8" s="318"/>
      <c r="CP8" s="318"/>
      <c r="CQ8" s="318"/>
      <c r="CR8" s="318"/>
      <c r="CS8" s="318"/>
      <c r="CT8" s="318"/>
      <c r="CU8" s="318"/>
      <c r="CV8" s="318"/>
      <c r="CW8" s="318"/>
      <c r="CX8" s="318"/>
      <c r="CY8" s="318"/>
      <c r="CZ8" s="318"/>
      <c r="DA8" s="318"/>
      <c r="DB8" s="318"/>
      <c r="DC8" s="318"/>
      <c r="DD8" s="318"/>
      <c r="DE8" s="318"/>
      <c r="DF8" s="318"/>
      <c r="DG8" s="318"/>
      <c r="DH8" s="318"/>
      <c r="DI8" s="318"/>
      <c r="DJ8" s="318"/>
      <c r="DK8" s="318"/>
      <c r="DL8" s="318"/>
      <c r="DM8" s="318"/>
      <c r="DN8" s="318"/>
      <c r="DO8" s="318"/>
      <c r="DP8" s="318"/>
      <c r="DQ8" s="318"/>
      <c r="DR8" s="318"/>
      <c r="DS8" s="318"/>
      <c r="DT8" s="318"/>
      <c r="DU8" s="318"/>
      <c r="DV8" s="318"/>
      <c r="DW8" s="318"/>
      <c r="DX8" s="318"/>
      <c r="DY8" s="318"/>
      <c r="DZ8" s="318"/>
      <c r="EA8" s="318"/>
      <c r="EB8" s="318"/>
      <c r="EC8" s="318"/>
      <c r="ED8" s="318"/>
      <c r="EE8" s="318"/>
      <c r="EF8" s="318"/>
      <c r="EG8" s="318"/>
      <c r="EH8" s="318"/>
      <c r="EI8" s="318"/>
      <c r="EJ8" s="318"/>
      <c r="EK8" s="318"/>
      <c r="EL8" s="318"/>
      <c r="EM8" s="318"/>
      <c r="EN8" s="318"/>
      <c r="EO8" s="318"/>
      <c r="EP8" s="318"/>
      <c r="EQ8" s="318"/>
      <c r="ER8" s="318"/>
      <c r="ES8" s="318"/>
      <c r="ET8" s="318"/>
      <c r="EU8" s="318"/>
      <c r="EV8" s="318"/>
      <c r="EW8" s="318"/>
      <c r="EX8" s="318"/>
      <c r="EY8" s="318"/>
      <c r="EZ8" s="318"/>
      <c r="FA8" s="318"/>
      <c r="FB8" s="318"/>
      <c r="FC8" s="318"/>
      <c r="FD8" s="318"/>
      <c r="FE8" s="318"/>
      <c r="FF8" s="318"/>
      <c r="FG8" s="318"/>
      <c r="FH8" s="318"/>
      <c r="FI8" s="318"/>
      <c r="FJ8" s="318"/>
      <c r="FK8" s="318"/>
      <c r="FL8" s="318"/>
      <c r="FM8" s="318"/>
      <c r="FN8" s="318"/>
      <c r="FO8" s="318"/>
      <c r="FP8" s="318"/>
      <c r="FQ8" s="318"/>
      <c r="FR8" s="318"/>
      <c r="FS8" s="318"/>
      <c r="FT8" s="318"/>
      <c r="FU8" s="318"/>
      <c r="FV8" s="318"/>
      <c r="FW8" s="318"/>
      <c r="FX8" s="318"/>
      <c r="FY8" s="318"/>
      <c r="FZ8" s="318"/>
      <c r="GA8" s="318"/>
      <c r="GB8" s="318"/>
      <c r="GC8" s="318"/>
      <c r="GD8" s="318"/>
      <c r="GE8" s="318"/>
      <c r="GF8" s="318"/>
      <c r="GG8" s="318"/>
      <c r="GH8" s="318"/>
      <c r="GI8" s="318"/>
      <c r="GJ8" s="318"/>
      <c r="GK8" s="318"/>
      <c r="GL8" s="318"/>
      <c r="GM8" s="318"/>
      <c r="GN8" s="318"/>
      <c r="GO8" s="318"/>
      <c r="GP8" s="318"/>
      <c r="GQ8" s="318"/>
      <c r="GR8" s="318"/>
      <c r="GS8" s="318"/>
      <c r="GT8" s="318"/>
      <c r="GU8" s="318"/>
      <c r="GV8" s="318"/>
      <c r="GW8" s="318"/>
      <c r="GX8" s="318"/>
      <c r="GY8" s="318"/>
      <c r="GZ8" s="318"/>
      <c r="HA8" s="318"/>
      <c r="HB8" s="318"/>
      <c r="HC8" s="318"/>
      <c r="HD8" s="318"/>
      <c r="HE8" s="318"/>
      <c r="HF8" s="318"/>
      <c r="HG8" s="318"/>
      <c r="HH8" s="318"/>
      <c r="HI8" s="318"/>
      <c r="HJ8" s="318"/>
      <c r="HK8" s="318"/>
      <c r="HL8" s="318"/>
      <c r="HM8" s="318"/>
      <c r="HN8" s="318"/>
      <c r="HO8" s="318"/>
      <c r="HP8" s="318"/>
      <c r="HQ8" s="318"/>
      <c r="HR8" s="318"/>
      <c r="HS8" s="318"/>
      <c r="HT8" s="318"/>
      <c r="HU8" s="318"/>
      <c r="HV8" s="318"/>
      <c r="HW8" s="318"/>
      <c r="HX8" s="318"/>
      <c r="HY8" s="318"/>
      <c r="HZ8" s="318"/>
      <c r="IA8" s="318"/>
      <c r="IB8" s="318"/>
      <c r="IC8" s="318"/>
      <c r="ID8" s="318"/>
      <c r="IE8" s="318"/>
      <c r="IF8" s="318"/>
      <c r="IG8" s="318"/>
      <c r="IH8" s="318"/>
      <c r="II8" s="318"/>
      <c r="IJ8" s="318"/>
      <c r="IK8" s="318"/>
      <c r="IL8" s="318"/>
      <c r="IM8" s="318"/>
      <c r="IN8" s="318"/>
      <c r="IO8" s="318"/>
      <c r="IP8" s="318"/>
      <c r="IQ8" s="318"/>
      <c r="IR8" s="318"/>
      <c r="IS8" s="318"/>
      <c r="IT8" s="318"/>
      <c r="IU8" s="318"/>
      <c r="IV8" s="318"/>
      <c r="IW8" s="318"/>
      <c r="IX8" s="318"/>
      <c r="IY8" s="318"/>
      <c r="IZ8" s="318"/>
      <c r="JA8" s="318"/>
      <c r="JB8" s="318"/>
      <c r="JC8" s="318"/>
      <c r="JD8" s="318"/>
      <c r="JE8" s="318"/>
      <c r="JF8" s="318"/>
      <c r="JG8" s="318"/>
      <c r="JH8" s="318"/>
      <c r="JI8" s="318"/>
      <c r="JJ8" s="318"/>
      <c r="JK8" s="318"/>
      <c r="JL8" s="318"/>
      <c r="JM8" s="318"/>
      <c r="JN8" s="318"/>
      <c r="JO8" s="318"/>
      <c r="JP8" s="318"/>
      <c r="JQ8" s="318"/>
      <c r="JR8" s="318"/>
      <c r="JS8" s="318"/>
      <c r="JT8" s="318"/>
      <c r="JU8" s="318"/>
      <c r="JV8" s="318"/>
      <c r="JW8" s="318"/>
      <c r="JX8" s="318"/>
      <c r="JY8" s="318"/>
      <c r="JZ8" s="318"/>
      <c r="KA8" s="318"/>
      <c r="KB8" s="318"/>
      <c r="KC8" s="318"/>
      <c r="KD8" s="318"/>
      <c r="KE8" s="318"/>
      <c r="KF8" s="318"/>
      <c r="KG8" s="318"/>
      <c r="KH8" s="318"/>
      <c r="KI8" s="318"/>
      <c r="KJ8" s="318"/>
      <c r="KK8" s="318"/>
      <c r="KL8" s="318"/>
      <c r="KM8" s="318"/>
      <c r="KN8" s="318"/>
      <c r="KO8" s="318"/>
      <c r="KP8" s="318"/>
      <c r="KQ8" s="318"/>
      <c r="KR8" s="318"/>
      <c r="KS8" s="318"/>
      <c r="KT8" s="318"/>
      <c r="KU8" s="318"/>
      <c r="KV8" s="318"/>
      <c r="KW8" s="318"/>
      <c r="KX8" s="318"/>
      <c r="KY8" s="318"/>
      <c r="KZ8" s="318"/>
      <c r="LA8" s="318"/>
      <c r="LB8" s="318"/>
      <c r="LC8" s="318"/>
      <c r="LD8" s="318"/>
      <c r="LE8" s="318"/>
      <c r="LF8" s="318"/>
      <c r="LG8" s="318"/>
      <c r="LH8" s="318"/>
      <c r="LI8" s="318"/>
      <c r="LJ8" s="318"/>
      <c r="LK8" s="318"/>
      <c r="LL8" s="318"/>
      <c r="LM8" s="318"/>
      <c r="LN8" s="318"/>
      <c r="LO8" s="318"/>
      <c r="LP8" s="318"/>
      <c r="LQ8" s="318"/>
      <c r="LR8" s="318"/>
      <c r="LS8" s="318"/>
      <c r="LT8" s="318"/>
      <c r="LU8" s="318"/>
      <c r="LV8" s="318"/>
      <c r="LW8" s="318"/>
      <c r="LX8" s="318"/>
      <c r="LY8" s="318"/>
      <c r="LZ8" s="318"/>
      <c r="MA8" s="318"/>
      <c r="MB8" s="318"/>
      <c r="MC8" s="318"/>
      <c r="MD8" s="318"/>
      <c r="ME8" s="318"/>
      <c r="MF8" s="318"/>
      <c r="MG8" s="318"/>
      <c r="MH8" s="318"/>
      <c r="MI8" s="318"/>
      <c r="MJ8" s="318"/>
      <c r="MK8" s="318"/>
      <c r="ML8" s="318"/>
      <c r="MM8" s="318"/>
      <c r="MN8" s="318"/>
      <c r="MO8" s="318"/>
      <c r="MP8" s="318"/>
      <c r="MQ8" s="318"/>
      <c r="MR8" s="318"/>
      <c r="MS8" s="318"/>
      <c r="MT8" s="318"/>
      <c r="MU8" s="318"/>
      <c r="MV8" s="318"/>
      <c r="MW8" s="318"/>
      <c r="MX8" s="318"/>
      <c r="MY8" s="318"/>
      <c r="MZ8" s="318"/>
      <c r="NA8" s="318"/>
      <c r="NB8" s="318"/>
      <c r="NC8" s="318"/>
      <c r="ND8" s="318"/>
      <c r="NE8" s="318"/>
      <c r="NF8" s="318"/>
      <c r="NG8" s="318"/>
      <c r="NH8" s="318"/>
      <c r="NI8" s="318"/>
      <c r="NJ8" s="318"/>
      <c r="NK8" s="318"/>
      <c r="NL8" s="318"/>
      <c r="NM8" s="318"/>
      <c r="NN8" s="318"/>
      <c r="NO8" s="318"/>
      <c r="NP8" s="318"/>
      <c r="NQ8" s="318"/>
      <c r="NR8" s="318"/>
      <c r="NS8" s="318"/>
      <c r="NT8" s="318"/>
      <c r="NU8" s="318"/>
      <c r="NV8" s="318"/>
      <c r="NW8" s="318"/>
      <c r="NX8" s="318"/>
      <c r="NY8" s="318"/>
      <c r="NZ8" s="318"/>
      <c r="OA8" s="318"/>
      <c r="OB8" s="318"/>
      <c r="OC8" s="318"/>
      <c r="OD8" s="318"/>
      <c r="OE8" s="318"/>
      <c r="OF8" s="318"/>
      <c r="OG8" s="318"/>
      <c r="OH8" s="318"/>
      <c r="OI8" s="318"/>
      <c r="OJ8" s="318"/>
      <c r="OK8" s="318"/>
      <c r="OL8" s="318"/>
      <c r="OM8" s="318"/>
      <c r="ON8" s="318"/>
      <c r="OO8" s="318"/>
      <c r="OP8" s="318"/>
      <c r="OQ8" s="318"/>
      <c r="OR8" s="318"/>
      <c r="OS8" s="318"/>
      <c r="OT8" s="318"/>
      <c r="OU8" s="318"/>
      <c r="OV8" s="318"/>
      <c r="OW8" s="318"/>
      <c r="OX8" s="318"/>
      <c r="OY8" s="318"/>
      <c r="OZ8" s="318"/>
      <c r="PA8" s="318"/>
      <c r="PB8" s="318"/>
      <c r="PC8" s="318"/>
      <c r="PD8" s="318"/>
      <c r="PE8" s="318"/>
      <c r="PF8" s="318"/>
      <c r="PG8" s="318"/>
      <c r="PH8" s="318"/>
      <c r="PI8" s="318"/>
      <c r="PJ8" s="318"/>
      <c r="PK8" s="318"/>
      <c r="PL8" s="318"/>
      <c r="PM8" s="318"/>
      <c r="PN8" s="318"/>
      <c r="PO8" s="318"/>
      <c r="PP8" s="318"/>
      <c r="PQ8" s="318"/>
      <c r="PR8" s="318"/>
      <c r="PS8" s="318"/>
      <c r="PT8" s="318"/>
      <c r="PU8" s="318"/>
      <c r="PV8" s="318"/>
      <c r="PW8" s="318"/>
      <c r="PX8" s="318"/>
      <c r="PY8" s="318"/>
      <c r="PZ8" s="318"/>
      <c r="QA8" s="318"/>
      <c r="QB8" s="318"/>
      <c r="QC8" s="318"/>
      <c r="QD8" s="318"/>
      <c r="QE8" s="318"/>
      <c r="QF8" s="318"/>
      <c r="QG8" s="318"/>
      <c r="QH8" s="318"/>
      <c r="QI8" s="318"/>
      <c r="QJ8" s="318"/>
      <c r="QK8" s="318"/>
      <c r="QL8" s="318"/>
      <c r="QM8" s="318"/>
      <c r="QN8" s="318"/>
      <c r="QO8" s="318"/>
      <c r="QP8" s="318"/>
      <c r="QQ8" s="318"/>
      <c r="QR8" s="318"/>
      <c r="QS8" s="318"/>
      <c r="QT8" s="318"/>
      <c r="QU8" s="318"/>
      <c r="QV8" s="318"/>
      <c r="QW8" s="318"/>
      <c r="QX8" s="318"/>
      <c r="QY8" s="318"/>
      <c r="QZ8" s="318"/>
      <c r="RA8" s="318"/>
      <c r="RB8" s="318"/>
      <c r="RC8" s="318"/>
      <c r="RD8" s="318"/>
      <c r="RE8" s="318"/>
      <c r="RF8" s="318"/>
      <c r="RG8" s="318"/>
      <c r="RH8" s="318"/>
      <c r="RI8" s="318"/>
      <c r="RJ8" s="318"/>
      <c r="RK8" s="318"/>
      <c r="RL8" s="318"/>
      <c r="RM8" s="318"/>
      <c r="RN8" s="318"/>
      <c r="RO8" s="318"/>
      <c r="RP8" s="318"/>
      <c r="RQ8" s="318"/>
      <c r="RR8" s="318"/>
      <c r="RS8" s="318"/>
      <c r="RT8" s="318"/>
      <c r="RU8" s="318"/>
      <c r="RV8" s="318"/>
      <c r="RW8" s="318"/>
      <c r="RX8" s="318"/>
      <c r="RY8" s="318"/>
      <c r="RZ8" s="318"/>
      <c r="SA8" s="318"/>
      <c r="SB8" s="318"/>
      <c r="SC8" s="318"/>
      <c r="SD8" s="318"/>
      <c r="SE8" s="318"/>
      <c r="SF8" s="318"/>
      <c r="SG8" s="318"/>
      <c r="SH8" s="318"/>
      <c r="SI8" s="318"/>
      <c r="SJ8" s="318"/>
      <c r="SK8" s="318"/>
      <c r="SL8" s="318"/>
      <c r="SM8" s="318"/>
      <c r="SN8" s="318"/>
      <c r="SO8" s="318"/>
      <c r="SP8" s="318"/>
      <c r="SQ8" s="318"/>
      <c r="SR8" s="318"/>
      <c r="SS8" s="318"/>
      <c r="ST8" s="318"/>
      <c r="SU8" s="318"/>
      <c r="SV8" s="318"/>
      <c r="SW8" s="318"/>
      <c r="SX8" s="318"/>
      <c r="SY8" s="318"/>
      <c r="SZ8" s="318"/>
      <c r="TA8" s="318"/>
      <c r="TB8" s="318"/>
      <c r="TC8" s="318"/>
      <c r="TD8" s="318"/>
      <c r="TE8" s="318"/>
      <c r="TF8" s="318"/>
      <c r="TG8" s="318"/>
      <c r="TH8" s="318"/>
      <c r="TI8" s="318"/>
      <c r="TJ8" s="318"/>
      <c r="TK8" s="318"/>
      <c r="TL8" s="318"/>
      <c r="TM8" s="318"/>
      <c r="TN8" s="318"/>
      <c r="TO8" s="318"/>
      <c r="TP8" s="318"/>
      <c r="TQ8" s="318"/>
      <c r="TR8" s="318"/>
      <c r="TS8" s="318"/>
      <c r="TT8" s="318"/>
      <c r="TU8" s="318"/>
      <c r="TV8" s="318"/>
      <c r="TW8" s="318"/>
      <c r="TX8" s="318"/>
      <c r="TY8" s="318"/>
      <c r="TZ8" s="318"/>
      <c r="UA8" s="318"/>
      <c r="UB8" s="318"/>
      <c r="UC8" s="318"/>
      <c r="UD8" s="318"/>
      <c r="UE8" s="318"/>
      <c r="UF8" s="318"/>
      <c r="UG8" s="318"/>
      <c r="UH8" s="318"/>
      <c r="UI8" s="318"/>
      <c r="UJ8" s="318"/>
      <c r="UK8" s="318"/>
      <c r="UL8" s="318"/>
      <c r="UM8" s="318"/>
      <c r="UN8" s="318"/>
      <c r="UO8" s="318"/>
      <c r="UP8" s="318"/>
      <c r="UQ8" s="318"/>
      <c r="UR8" s="318"/>
      <c r="US8" s="318"/>
      <c r="UT8" s="318"/>
      <c r="UU8" s="318"/>
      <c r="UV8" s="318"/>
      <c r="UW8" s="318"/>
      <c r="UX8" s="318"/>
      <c r="UY8" s="318"/>
      <c r="UZ8" s="318"/>
      <c r="VA8" s="318"/>
      <c r="VB8" s="318"/>
      <c r="VC8" s="318"/>
      <c r="VD8" s="318"/>
      <c r="VE8" s="318"/>
      <c r="VF8" s="318"/>
      <c r="VG8" s="318"/>
      <c r="VH8" s="318"/>
      <c r="VI8" s="318"/>
      <c r="VJ8" s="318"/>
      <c r="VK8" s="318"/>
      <c r="VL8" s="318"/>
      <c r="VM8" s="318"/>
      <c r="VN8" s="318"/>
      <c r="VO8" s="318"/>
      <c r="VP8" s="318"/>
      <c r="VQ8" s="318"/>
      <c r="VR8" s="318"/>
      <c r="VS8" s="318"/>
      <c r="VT8" s="318"/>
      <c r="VU8" s="318"/>
      <c r="VV8" s="318"/>
      <c r="VW8" s="318"/>
      <c r="VX8" s="318"/>
      <c r="VY8" s="318"/>
      <c r="VZ8" s="318"/>
      <c r="WA8" s="318"/>
      <c r="WB8" s="318"/>
      <c r="WC8" s="318"/>
      <c r="WD8" s="318"/>
      <c r="WE8" s="318"/>
      <c r="WF8" s="318"/>
      <c r="WG8" s="318"/>
      <c r="WH8" s="318"/>
      <c r="WI8" s="318"/>
      <c r="WJ8" s="318"/>
      <c r="WK8" s="318"/>
      <c r="WL8" s="318"/>
      <c r="WM8" s="318"/>
      <c r="WN8" s="318"/>
      <c r="WO8" s="318"/>
      <c r="WP8" s="318"/>
      <c r="WQ8" s="318"/>
      <c r="WR8" s="318"/>
      <c r="WS8" s="318"/>
      <c r="WT8" s="318"/>
      <c r="WU8" s="318"/>
      <c r="WV8" s="318"/>
      <c r="WW8" s="318"/>
      <c r="WX8" s="318"/>
      <c r="WY8" s="318"/>
      <c r="WZ8" s="318"/>
      <c r="XA8" s="318"/>
      <c r="XB8" s="318"/>
      <c r="XC8" s="318"/>
      <c r="XD8" s="318"/>
      <c r="XE8" s="318"/>
      <c r="XF8" s="318"/>
      <c r="XG8" s="318"/>
      <c r="XH8" s="318"/>
      <c r="XI8" s="318"/>
      <c r="XJ8" s="318"/>
      <c r="XK8" s="318"/>
      <c r="XL8" s="318"/>
      <c r="XM8" s="318"/>
      <c r="XN8" s="318"/>
      <c r="XO8" s="318"/>
      <c r="XP8" s="318"/>
      <c r="XQ8" s="318"/>
      <c r="XR8" s="318"/>
      <c r="XS8" s="318"/>
      <c r="XT8" s="318"/>
      <c r="XU8" s="318"/>
      <c r="XV8" s="318"/>
      <c r="XW8" s="318"/>
      <c r="XX8" s="318"/>
      <c r="XY8" s="318"/>
      <c r="XZ8" s="318"/>
      <c r="YA8" s="318"/>
      <c r="YB8" s="318"/>
      <c r="YC8" s="318"/>
      <c r="YD8" s="318"/>
      <c r="YE8" s="318"/>
      <c r="YF8" s="318"/>
      <c r="YG8" s="318"/>
      <c r="YH8" s="318"/>
      <c r="YI8" s="318"/>
      <c r="YJ8" s="318"/>
      <c r="YK8" s="318"/>
      <c r="YL8" s="318"/>
      <c r="YM8" s="318"/>
      <c r="YN8" s="318"/>
      <c r="YO8" s="318"/>
      <c r="YP8" s="318"/>
      <c r="YQ8" s="318"/>
      <c r="YR8" s="318"/>
      <c r="YS8" s="318"/>
      <c r="YT8" s="318"/>
      <c r="YU8" s="318"/>
      <c r="YV8" s="318"/>
      <c r="YW8" s="318"/>
      <c r="YX8" s="318"/>
      <c r="YY8" s="318"/>
      <c r="YZ8" s="318"/>
      <c r="ZA8" s="318"/>
      <c r="ZB8" s="318"/>
      <c r="ZC8" s="318"/>
      <c r="ZD8" s="318"/>
      <c r="ZE8" s="318"/>
      <c r="ZF8" s="318"/>
      <c r="ZG8" s="318"/>
      <c r="ZH8" s="318"/>
      <c r="ZI8" s="318"/>
      <c r="ZJ8" s="318"/>
      <c r="ZK8" s="318"/>
      <c r="ZL8" s="318"/>
      <c r="ZM8" s="318"/>
      <c r="ZN8" s="318"/>
      <c r="ZO8" s="318"/>
      <c r="ZP8" s="318"/>
      <c r="ZQ8" s="318"/>
      <c r="ZR8" s="318"/>
      <c r="ZS8" s="318"/>
      <c r="ZT8" s="318"/>
      <c r="ZU8" s="318"/>
      <c r="ZV8" s="318"/>
      <c r="ZW8" s="318"/>
      <c r="ZX8" s="318"/>
      <c r="ZY8" s="318"/>
      <c r="ZZ8" s="318"/>
      <c r="AAA8" s="318"/>
      <c r="AAB8" s="318"/>
      <c r="AAC8" s="318"/>
      <c r="AAD8" s="318"/>
      <c r="AAE8" s="318"/>
      <c r="AAF8" s="318"/>
      <c r="AAG8" s="318"/>
      <c r="AAH8" s="318"/>
      <c r="AAI8" s="318"/>
      <c r="AAJ8" s="318"/>
      <c r="AAK8" s="318"/>
      <c r="AAL8" s="318"/>
      <c r="AAM8" s="318"/>
      <c r="AAN8" s="318"/>
      <c r="AAO8" s="318"/>
      <c r="AAP8" s="318"/>
      <c r="AAQ8" s="318"/>
      <c r="AAR8" s="318"/>
      <c r="AAS8" s="318"/>
      <c r="AAT8" s="318"/>
      <c r="AAU8" s="318"/>
      <c r="AAV8" s="318"/>
      <c r="AAW8" s="318"/>
      <c r="AAX8" s="318"/>
      <c r="AAY8" s="318"/>
      <c r="AAZ8" s="318"/>
      <c r="ABA8" s="318"/>
      <c r="ABB8" s="318"/>
      <c r="ABC8" s="318"/>
      <c r="ABD8" s="318"/>
      <c r="ABE8" s="318"/>
      <c r="ABF8" s="318"/>
      <c r="ABG8" s="318"/>
      <c r="ABH8" s="318"/>
      <c r="ABI8" s="318"/>
      <c r="ABJ8" s="318"/>
      <c r="ABK8" s="318"/>
      <c r="ABL8" s="318"/>
      <c r="ABM8" s="318"/>
      <c r="ABN8" s="318"/>
      <c r="ABO8" s="318"/>
      <c r="ABP8" s="318"/>
      <c r="ABQ8" s="318"/>
      <c r="ABR8" s="318"/>
      <c r="ABS8" s="318"/>
      <c r="ABT8" s="318"/>
      <c r="ABU8" s="318"/>
      <c r="ABV8" s="318"/>
      <c r="ABW8" s="318"/>
      <c r="ABX8" s="318"/>
      <c r="ABY8" s="318"/>
      <c r="ABZ8" s="318"/>
      <c r="ACA8" s="318"/>
      <c r="ACB8" s="318"/>
      <c r="ACC8" s="318"/>
      <c r="ACD8" s="318"/>
      <c r="ACE8" s="318"/>
      <c r="ACF8" s="318"/>
      <c r="ACG8" s="318"/>
      <c r="ACH8" s="318"/>
      <c r="ACI8" s="318"/>
      <c r="ACJ8" s="318"/>
      <c r="ACK8" s="318"/>
      <c r="ACL8" s="318"/>
      <c r="ACM8" s="318"/>
      <c r="ACN8" s="318"/>
      <c r="ACO8" s="318"/>
      <c r="ACP8" s="318"/>
      <c r="ACQ8" s="318"/>
      <c r="ACR8" s="318"/>
      <c r="ACS8" s="318"/>
      <c r="ACT8" s="318"/>
      <c r="ACU8" s="318"/>
      <c r="ACV8" s="318"/>
      <c r="ACW8" s="318"/>
      <c r="ACX8" s="318"/>
      <c r="ACY8" s="318"/>
      <c r="ACZ8" s="318"/>
      <c r="ADA8" s="318"/>
      <c r="ADB8" s="318"/>
      <c r="ADC8" s="318"/>
      <c r="ADD8" s="318"/>
      <c r="ADE8" s="318"/>
      <c r="ADF8" s="318"/>
      <c r="ADG8" s="318"/>
      <c r="ADH8" s="318"/>
      <c r="ADI8" s="318"/>
      <c r="ADJ8" s="318"/>
      <c r="ADK8" s="318"/>
      <c r="ADL8" s="318"/>
      <c r="ADM8" s="318"/>
      <c r="ADN8" s="318"/>
      <c r="ADO8" s="318"/>
      <c r="ADP8" s="318"/>
      <c r="ADQ8" s="318"/>
      <c r="ADR8" s="318"/>
      <c r="ADS8" s="318"/>
      <c r="ADT8" s="318"/>
      <c r="ADU8" s="318"/>
      <c r="ADV8" s="318"/>
      <c r="ADW8" s="318"/>
      <c r="ADX8" s="318"/>
      <c r="ADY8" s="318"/>
      <c r="ADZ8" s="318"/>
      <c r="AEA8" s="318"/>
      <c r="AEB8" s="318"/>
      <c r="AEC8" s="318"/>
      <c r="AED8" s="318"/>
      <c r="AEE8" s="318"/>
      <c r="AEF8" s="318"/>
      <c r="AEG8" s="318"/>
      <c r="AEH8" s="318"/>
      <c r="AEI8" s="318"/>
      <c r="AEJ8" s="318"/>
      <c r="AEK8" s="318"/>
      <c r="AEL8" s="318"/>
      <c r="AEM8" s="318"/>
      <c r="AEN8" s="318"/>
      <c r="AEO8" s="318"/>
      <c r="AEP8" s="318"/>
      <c r="AEQ8" s="318"/>
      <c r="AER8" s="318"/>
      <c r="AES8" s="318"/>
      <c r="AET8" s="318"/>
      <c r="AEU8" s="318"/>
      <c r="AEV8" s="318"/>
      <c r="AEW8" s="318"/>
      <c r="AEX8" s="318"/>
      <c r="AEY8" s="318"/>
      <c r="AEZ8" s="318"/>
      <c r="AFA8" s="318"/>
      <c r="AFB8" s="318"/>
      <c r="AFC8" s="318"/>
      <c r="AFD8" s="318"/>
      <c r="AFE8" s="318"/>
      <c r="AFF8" s="318"/>
      <c r="AFG8" s="318"/>
      <c r="AFH8" s="318"/>
      <c r="AFI8" s="318"/>
      <c r="AFJ8" s="318"/>
      <c r="AFK8" s="318"/>
      <c r="AFL8" s="318"/>
      <c r="AFM8" s="318"/>
      <c r="AFN8" s="318"/>
      <c r="AFO8" s="318"/>
      <c r="AFP8" s="318"/>
      <c r="AFQ8" s="318"/>
      <c r="AFR8" s="318"/>
      <c r="AFS8" s="318"/>
      <c r="AFT8" s="318"/>
      <c r="AFU8" s="318"/>
      <c r="AFV8" s="318"/>
      <c r="AFW8" s="318"/>
      <c r="AFX8" s="318"/>
      <c r="AFY8" s="318"/>
      <c r="AFZ8" s="318"/>
      <c r="AGA8" s="318"/>
      <c r="AGB8" s="318"/>
      <c r="AGC8" s="318"/>
      <c r="AGD8" s="318"/>
      <c r="AGE8" s="318"/>
      <c r="AGF8" s="318"/>
      <c r="AGG8" s="318"/>
      <c r="AGH8" s="318"/>
      <c r="AGI8" s="318"/>
      <c r="AGJ8" s="318"/>
      <c r="AGK8" s="318"/>
      <c r="AGL8" s="318"/>
      <c r="AGM8" s="318"/>
      <c r="AGN8" s="318"/>
      <c r="AGO8" s="318"/>
      <c r="AGP8" s="318"/>
      <c r="AGQ8" s="318"/>
      <c r="AGR8" s="318"/>
      <c r="AGS8" s="318"/>
      <c r="AGT8" s="318"/>
      <c r="AGU8" s="318"/>
      <c r="AGV8" s="318"/>
      <c r="AGW8" s="318"/>
      <c r="AGX8" s="318"/>
      <c r="AGY8" s="318"/>
      <c r="AGZ8" s="318"/>
      <c r="AHA8" s="318"/>
      <c r="AHB8" s="318"/>
      <c r="AHC8" s="318"/>
      <c r="AHD8" s="318"/>
      <c r="AHE8" s="318"/>
      <c r="AHF8" s="318"/>
      <c r="AHG8" s="318"/>
      <c r="AHH8" s="318"/>
      <c r="AHI8" s="318"/>
      <c r="AHJ8" s="318"/>
      <c r="AHK8" s="318"/>
      <c r="AHL8" s="318"/>
      <c r="AHM8" s="318"/>
      <c r="AHN8" s="318"/>
      <c r="AHO8" s="318"/>
      <c r="AHP8" s="318"/>
      <c r="AHQ8" s="318"/>
      <c r="AHR8" s="318"/>
      <c r="AHS8" s="318"/>
      <c r="AHT8" s="318"/>
      <c r="AHU8" s="318"/>
      <c r="AHV8" s="318"/>
      <c r="AHW8" s="318"/>
      <c r="AHX8" s="318"/>
      <c r="AHY8" s="318"/>
      <c r="AHZ8" s="318"/>
      <c r="AIA8" s="318"/>
      <c r="AIB8" s="318"/>
      <c r="AIC8" s="318"/>
      <c r="AID8" s="318"/>
      <c r="AIE8" s="318"/>
      <c r="AIF8" s="318"/>
      <c r="AIG8" s="318"/>
      <c r="AIH8" s="318"/>
      <c r="AII8" s="318"/>
      <c r="AIJ8" s="318"/>
      <c r="AIK8" s="318"/>
      <c r="AIL8" s="318"/>
      <c r="AIM8" s="318"/>
      <c r="AIN8" s="318"/>
      <c r="AIO8" s="318"/>
      <c r="AIP8" s="318"/>
      <c r="AIQ8" s="318"/>
      <c r="AIR8" s="318"/>
      <c r="AIS8" s="318"/>
      <c r="AIT8" s="318"/>
      <c r="AIU8" s="318"/>
      <c r="AIV8" s="318"/>
      <c r="AIW8" s="318"/>
      <c r="AIX8" s="318"/>
      <c r="AIY8" s="318"/>
      <c r="AIZ8" s="318"/>
      <c r="AJA8" s="318"/>
      <c r="AJB8" s="318"/>
      <c r="AJC8" s="318"/>
      <c r="AJD8" s="318"/>
      <c r="AJE8" s="318"/>
      <c r="AJF8" s="318"/>
      <c r="AJG8" s="318"/>
      <c r="AJH8" s="318"/>
      <c r="AJI8" s="318"/>
      <c r="AJJ8" s="318"/>
      <c r="AJK8" s="318"/>
      <c r="AJL8" s="318"/>
      <c r="AJM8" s="318"/>
      <c r="AJN8" s="318"/>
      <c r="AJO8" s="318"/>
      <c r="AJP8" s="318"/>
      <c r="AJQ8" s="318"/>
      <c r="AJR8" s="318"/>
      <c r="AJS8" s="318"/>
      <c r="AJT8" s="318"/>
      <c r="AJU8" s="318"/>
      <c r="AJV8" s="318"/>
      <c r="AJW8" s="318"/>
      <c r="AJX8" s="318"/>
      <c r="AJY8" s="318"/>
      <c r="AJZ8" s="318"/>
      <c r="AKA8" s="318"/>
      <c r="AKB8" s="318"/>
      <c r="AKC8" s="318"/>
      <c r="AKD8" s="318"/>
      <c r="AKE8" s="318"/>
      <c r="AKF8" s="318"/>
      <c r="AKG8" s="318"/>
      <c r="AKH8" s="318"/>
      <c r="AKI8" s="318"/>
      <c r="AKJ8" s="318"/>
      <c r="AKK8" s="318"/>
      <c r="AKL8" s="318"/>
      <c r="AKM8" s="318"/>
      <c r="AKN8" s="318"/>
      <c r="AKO8" s="318"/>
      <c r="AKP8" s="318"/>
      <c r="AKQ8" s="318"/>
      <c r="AKR8" s="318"/>
      <c r="AKS8" s="318"/>
      <c r="AKT8" s="318"/>
      <c r="AKU8" s="318"/>
      <c r="AKV8" s="318"/>
      <c r="AKW8" s="318"/>
      <c r="AKX8" s="318"/>
      <c r="AKY8" s="318"/>
      <c r="AKZ8" s="318"/>
      <c r="ALA8" s="318"/>
      <c r="ALB8" s="318"/>
      <c r="ALC8" s="318"/>
    </row>
    <row r="9" spans="1:991" ht="28.5" thickBot="1" x14ac:dyDescent="0.3">
      <c r="A9" s="318"/>
      <c r="B9" s="349"/>
      <c r="C9" s="350"/>
      <c r="D9" s="318"/>
      <c r="E9" s="351"/>
      <c r="F9" s="351"/>
      <c r="G9" s="352"/>
      <c r="H9" s="352"/>
      <c r="I9" s="353" t="s">
        <v>106</v>
      </c>
      <c r="J9" s="354"/>
      <c r="K9" s="355"/>
      <c r="L9" s="355"/>
      <c r="M9" s="355"/>
      <c r="N9" s="355"/>
      <c r="O9" s="355"/>
      <c r="P9" s="355"/>
      <c r="Q9" s="355"/>
      <c r="R9" s="355"/>
      <c r="S9" s="355"/>
      <c r="T9" s="355"/>
      <c r="U9" s="355"/>
      <c r="V9" s="355"/>
      <c r="W9" s="355"/>
      <c r="X9" s="355"/>
      <c r="Y9" s="355"/>
      <c r="Z9" s="355"/>
      <c r="AA9" s="355"/>
      <c r="AB9" s="355"/>
      <c r="AC9" s="355"/>
      <c r="AD9" s="355"/>
      <c r="AE9" s="355"/>
      <c r="AF9" s="355"/>
      <c r="AG9" s="355"/>
      <c r="AH9" s="355"/>
      <c r="AI9" s="355"/>
      <c r="AJ9" s="355"/>
      <c r="AK9" s="355"/>
      <c r="AL9" s="355"/>
      <c r="AM9" s="355"/>
      <c r="AN9" s="355"/>
      <c r="AO9" s="355"/>
      <c r="AP9" s="355"/>
      <c r="AQ9" s="355"/>
      <c r="AR9" s="355"/>
      <c r="AS9" s="355"/>
      <c r="AT9" s="355"/>
      <c r="AU9" s="355"/>
      <c r="AV9" s="355"/>
      <c r="AW9" s="355"/>
      <c r="AX9" s="355"/>
      <c r="AY9" s="355"/>
      <c r="AZ9" s="356"/>
      <c r="BA9" s="357"/>
      <c r="BB9" s="358"/>
      <c r="BC9" s="318"/>
      <c r="BD9" s="318"/>
      <c r="BE9" s="318"/>
      <c r="BF9" s="318"/>
      <c r="BG9" s="318"/>
      <c r="BH9" s="318"/>
      <c r="BI9" s="318"/>
      <c r="BJ9" s="318"/>
      <c r="BK9" s="318"/>
      <c r="BL9" s="318"/>
      <c r="BM9" s="318"/>
      <c r="BN9" s="318"/>
      <c r="BO9" s="318"/>
      <c r="BP9" s="318"/>
      <c r="BQ9" s="318"/>
      <c r="BR9" s="318"/>
      <c r="BS9" s="318"/>
      <c r="BT9" s="318"/>
      <c r="BU9" s="318"/>
      <c r="BV9" s="318"/>
      <c r="BW9" s="318"/>
      <c r="BX9" s="318"/>
      <c r="BY9" s="318"/>
      <c r="BZ9" s="318"/>
      <c r="CA9" s="318"/>
      <c r="CB9" s="318"/>
      <c r="CC9" s="318"/>
      <c r="CD9" s="318"/>
      <c r="CE9" s="318"/>
      <c r="CF9" s="318"/>
      <c r="CG9" s="318"/>
      <c r="CH9" s="318"/>
      <c r="CI9" s="318"/>
      <c r="CJ9" s="318"/>
      <c r="CK9" s="318"/>
      <c r="CL9" s="318"/>
      <c r="CM9" s="318"/>
      <c r="CN9" s="318"/>
      <c r="CO9" s="318"/>
      <c r="CP9" s="318"/>
      <c r="CQ9" s="318"/>
      <c r="CR9" s="318"/>
      <c r="CS9" s="318"/>
      <c r="CT9" s="318"/>
      <c r="CU9" s="318"/>
      <c r="CV9" s="318"/>
      <c r="CW9" s="318"/>
      <c r="CX9" s="318"/>
      <c r="CY9" s="318"/>
      <c r="CZ9" s="318"/>
      <c r="DA9" s="318"/>
      <c r="DB9" s="318"/>
      <c r="DC9" s="318"/>
      <c r="DD9" s="318"/>
      <c r="DE9" s="318"/>
      <c r="DF9" s="318"/>
      <c r="DG9" s="318"/>
      <c r="DH9" s="318"/>
      <c r="DI9" s="318"/>
      <c r="DJ9" s="318"/>
      <c r="DK9" s="318"/>
      <c r="DL9" s="318"/>
      <c r="DM9" s="318"/>
      <c r="DN9" s="318"/>
      <c r="DO9" s="318"/>
      <c r="DP9" s="318"/>
      <c r="DQ9" s="318"/>
      <c r="DR9" s="318"/>
      <c r="DS9" s="318"/>
      <c r="DT9" s="318"/>
      <c r="DU9" s="318"/>
      <c r="DV9" s="318"/>
      <c r="DW9" s="318"/>
      <c r="DX9" s="318"/>
      <c r="DY9" s="318"/>
      <c r="DZ9" s="318"/>
      <c r="EA9" s="318"/>
      <c r="EB9" s="318"/>
      <c r="EC9" s="318"/>
      <c r="ED9" s="318"/>
      <c r="EE9" s="318"/>
      <c r="EF9" s="318"/>
      <c r="EG9" s="318"/>
      <c r="EH9" s="318"/>
      <c r="EI9" s="318"/>
      <c r="EJ9" s="318"/>
      <c r="EK9" s="318"/>
      <c r="EL9" s="318"/>
      <c r="EM9" s="318"/>
      <c r="EN9" s="318"/>
      <c r="EO9" s="318"/>
      <c r="EP9" s="318"/>
      <c r="EQ9" s="318"/>
      <c r="ER9" s="318"/>
      <c r="ES9" s="318"/>
      <c r="ET9" s="318"/>
      <c r="EU9" s="318"/>
      <c r="EV9" s="318"/>
      <c r="EW9" s="318"/>
      <c r="EX9" s="318"/>
      <c r="EY9" s="318"/>
      <c r="EZ9" s="318"/>
      <c r="FA9" s="318"/>
      <c r="FB9" s="318"/>
      <c r="FC9" s="318"/>
      <c r="FD9" s="318"/>
      <c r="FE9" s="318"/>
      <c r="FF9" s="318"/>
      <c r="FG9" s="318"/>
      <c r="FH9" s="318"/>
      <c r="FI9" s="318"/>
      <c r="FJ9" s="318"/>
      <c r="FK9" s="318"/>
      <c r="FL9" s="318"/>
      <c r="FM9" s="318"/>
      <c r="FN9" s="318"/>
      <c r="FO9" s="318"/>
      <c r="FP9" s="318"/>
      <c r="FQ9" s="318"/>
      <c r="FR9" s="318"/>
      <c r="FS9" s="318"/>
      <c r="FT9" s="318"/>
      <c r="FU9" s="318"/>
      <c r="FV9" s="318"/>
      <c r="FW9" s="318"/>
      <c r="FX9" s="318"/>
      <c r="FY9" s="318"/>
      <c r="FZ9" s="318"/>
      <c r="GA9" s="318"/>
      <c r="GB9" s="318"/>
      <c r="GC9" s="318"/>
      <c r="GD9" s="318"/>
      <c r="GE9" s="318"/>
      <c r="GF9" s="318"/>
      <c r="GG9" s="318"/>
      <c r="GH9" s="318"/>
      <c r="GI9" s="318"/>
      <c r="GJ9" s="318"/>
      <c r="GK9" s="318"/>
      <c r="GL9" s="318"/>
      <c r="GM9" s="318"/>
      <c r="GN9" s="318"/>
      <c r="GO9" s="318"/>
      <c r="GP9" s="318"/>
      <c r="GQ9" s="318"/>
      <c r="GR9" s="318"/>
      <c r="GS9" s="318"/>
      <c r="GT9" s="318"/>
      <c r="GU9" s="318"/>
      <c r="GV9" s="318"/>
      <c r="GW9" s="318"/>
      <c r="GX9" s="318"/>
      <c r="GY9" s="318"/>
      <c r="GZ9" s="318"/>
      <c r="HA9" s="318"/>
      <c r="HB9" s="318"/>
      <c r="HC9" s="318"/>
      <c r="HD9" s="318"/>
      <c r="HE9" s="318"/>
      <c r="HF9" s="318"/>
      <c r="HG9" s="318"/>
      <c r="HH9" s="318"/>
      <c r="HI9" s="318"/>
      <c r="HJ9" s="318"/>
      <c r="HK9" s="318"/>
      <c r="HL9" s="318"/>
      <c r="HM9" s="318"/>
      <c r="HN9" s="318"/>
      <c r="HO9" s="318"/>
      <c r="HP9" s="318"/>
      <c r="HQ9" s="318"/>
      <c r="HR9" s="318"/>
      <c r="HS9" s="318"/>
      <c r="HT9" s="318"/>
      <c r="HU9" s="318"/>
      <c r="HV9" s="318"/>
      <c r="HW9" s="318"/>
      <c r="HX9" s="318"/>
      <c r="HY9" s="318"/>
      <c r="HZ9" s="318"/>
      <c r="IA9" s="318"/>
      <c r="IB9" s="318"/>
      <c r="IC9" s="318"/>
      <c r="ID9" s="318"/>
      <c r="IE9" s="318"/>
      <c r="IF9" s="318"/>
      <c r="IG9" s="318"/>
      <c r="IH9" s="318"/>
      <c r="II9" s="318"/>
      <c r="IJ9" s="318"/>
      <c r="IK9" s="318"/>
      <c r="IL9" s="318"/>
      <c r="IM9" s="318"/>
      <c r="IN9" s="318"/>
      <c r="IO9" s="318"/>
      <c r="IP9" s="318"/>
      <c r="IQ9" s="318"/>
      <c r="IR9" s="318"/>
      <c r="IS9" s="318"/>
      <c r="IT9" s="318"/>
      <c r="IU9" s="318"/>
      <c r="IV9" s="318"/>
      <c r="IW9" s="318"/>
      <c r="IX9" s="318"/>
      <c r="IY9" s="318"/>
      <c r="IZ9" s="318"/>
      <c r="JA9" s="318"/>
      <c r="JB9" s="318"/>
      <c r="JC9" s="318"/>
      <c r="JD9" s="318"/>
      <c r="JE9" s="318"/>
      <c r="JF9" s="318"/>
      <c r="JG9" s="318"/>
      <c r="JH9" s="318"/>
      <c r="JI9" s="318"/>
      <c r="JJ9" s="318"/>
      <c r="JK9" s="318"/>
      <c r="JL9" s="318"/>
      <c r="JM9" s="318"/>
      <c r="JN9" s="318"/>
      <c r="JO9" s="318"/>
      <c r="JP9" s="318"/>
      <c r="JQ9" s="318"/>
      <c r="JR9" s="318"/>
      <c r="JS9" s="318"/>
      <c r="JT9" s="318"/>
      <c r="JU9" s="318"/>
      <c r="JV9" s="318"/>
      <c r="JW9" s="318"/>
      <c r="JX9" s="318"/>
      <c r="JY9" s="318"/>
      <c r="JZ9" s="318"/>
      <c r="KA9" s="318"/>
      <c r="KB9" s="318"/>
      <c r="KC9" s="318"/>
      <c r="KD9" s="318"/>
      <c r="KE9" s="318"/>
      <c r="KF9" s="318"/>
      <c r="KG9" s="318"/>
      <c r="KH9" s="318"/>
      <c r="KI9" s="318"/>
      <c r="KJ9" s="318"/>
      <c r="KK9" s="318"/>
      <c r="KL9" s="318"/>
      <c r="KM9" s="318"/>
      <c r="KN9" s="318"/>
      <c r="KO9" s="318"/>
      <c r="KP9" s="318"/>
      <c r="KQ9" s="318"/>
      <c r="KR9" s="318"/>
      <c r="KS9" s="318"/>
      <c r="KT9" s="318"/>
      <c r="KU9" s="318"/>
      <c r="KV9" s="318"/>
      <c r="KW9" s="318"/>
      <c r="KX9" s="318"/>
      <c r="KY9" s="318"/>
      <c r="KZ9" s="318"/>
      <c r="LA9" s="318"/>
      <c r="LB9" s="318"/>
      <c r="LC9" s="318"/>
      <c r="LD9" s="318"/>
      <c r="LE9" s="318"/>
      <c r="LF9" s="318"/>
      <c r="LG9" s="318"/>
      <c r="LH9" s="318"/>
      <c r="LI9" s="318"/>
      <c r="LJ9" s="318"/>
      <c r="LK9" s="318"/>
      <c r="LL9" s="318"/>
      <c r="LM9" s="318"/>
      <c r="LN9" s="318"/>
      <c r="LO9" s="318"/>
      <c r="LP9" s="318"/>
      <c r="LQ9" s="318"/>
      <c r="LR9" s="318"/>
      <c r="LS9" s="318"/>
      <c r="LT9" s="318"/>
      <c r="LU9" s="318"/>
      <c r="LV9" s="318"/>
      <c r="LW9" s="318"/>
      <c r="LX9" s="318"/>
      <c r="LY9" s="318"/>
      <c r="LZ9" s="318"/>
      <c r="MA9" s="318"/>
      <c r="MB9" s="318"/>
      <c r="MC9" s="318"/>
      <c r="MD9" s="318"/>
      <c r="ME9" s="318"/>
      <c r="MF9" s="318"/>
      <c r="MG9" s="318"/>
      <c r="MH9" s="318"/>
      <c r="MI9" s="318"/>
      <c r="MJ9" s="318"/>
      <c r="MK9" s="318"/>
      <c r="ML9" s="318"/>
      <c r="MM9" s="318"/>
      <c r="MN9" s="318"/>
      <c r="MO9" s="318"/>
      <c r="MP9" s="318"/>
      <c r="MQ9" s="318"/>
      <c r="MR9" s="318"/>
      <c r="MS9" s="318"/>
      <c r="MT9" s="318"/>
      <c r="MU9" s="318"/>
      <c r="MV9" s="318"/>
      <c r="MW9" s="318"/>
      <c r="MX9" s="318"/>
      <c r="MY9" s="318"/>
      <c r="MZ9" s="318"/>
      <c r="NA9" s="318"/>
      <c r="NB9" s="318"/>
      <c r="NC9" s="318"/>
      <c r="ND9" s="318"/>
      <c r="NE9" s="318"/>
      <c r="NF9" s="318"/>
      <c r="NG9" s="318"/>
      <c r="NH9" s="318"/>
      <c r="NI9" s="318"/>
      <c r="NJ9" s="318"/>
      <c r="NK9" s="318"/>
      <c r="NL9" s="318"/>
      <c r="NM9" s="318"/>
      <c r="NN9" s="318"/>
      <c r="NO9" s="318"/>
      <c r="NP9" s="318"/>
      <c r="NQ9" s="318"/>
      <c r="NR9" s="318"/>
      <c r="NS9" s="318"/>
      <c r="NT9" s="318"/>
      <c r="NU9" s="318"/>
      <c r="NV9" s="318"/>
      <c r="NW9" s="318"/>
      <c r="NX9" s="318"/>
      <c r="NY9" s="318"/>
      <c r="NZ9" s="318"/>
      <c r="OA9" s="318"/>
      <c r="OB9" s="318"/>
      <c r="OC9" s="318"/>
      <c r="OD9" s="318"/>
      <c r="OE9" s="318"/>
      <c r="OF9" s="318"/>
      <c r="OG9" s="318"/>
      <c r="OH9" s="318"/>
      <c r="OI9" s="318"/>
      <c r="OJ9" s="318"/>
      <c r="OK9" s="318"/>
      <c r="OL9" s="318"/>
      <c r="OM9" s="318"/>
      <c r="ON9" s="318"/>
      <c r="OO9" s="318"/>
      <c r="OP9" s="318"/>
      <c r="OQ9" s="318"/>
      <c r="OR9" s="318"/>
      <c r="OS9" s="318"/>
      <c r="OT9" s="318"/>
      <c r="OU9" s="318"/>
      <c r="OV9" s="318"/>
      <c r="OW9" s="318"/>
      <c r="OX9" s="318"/>
      <c r="OY9" s="318"/>
      <c r="OZ9" s="318"/>
      <c r="PA9" s="318"/>
      <c r="PB9" s="318"/>
      <c r="PC9" s="318"/>
      <c r="PD9" s="318"/>
      <c r="PE9" s="318"/>
      <c r="PF9" s="318"/>
      <c r="PG9" s="318"/>
      <c r="PH9" s="318"/>
      <c r="PI9" s="318"/>
      <c r="PJ9" s="318"/>
      <c r="PK9" s="318"/>
      <c r="PL9" s="318"/>
      <c r="PM9" s="318"/>
      <c r="PN9" s="318"/>
      <c r="PO9" s="318"/>
      <c r="PP9" s="318"/>
      <c r="PQ9" s="318"/>
      <c r="PR9" s="318"/>
      <c r="PS9" s="318"/>
      <c r="PT9" s="318"/>
      <c r="PU9" s="318"/>
      <c r="PV9" s="318"/>
      <c r="PW9" s="318"/>
      <c r="PX9" s="318"/>
      <c r="PY9" s="318"/>
      <c r="PZ9" s="318"/>
      <c r="QA9" s="318"/>
      <c r="QB9" s="318"/>
      <c r="QC9" s="318"/>
      <c r="QD9" s="318"/>
      <c r="QE9" s="318"/>
      <c r="QF9" s="318"/>
      <c r="QG9" s="318"/>
      <c r="QH9" s="318"/>
      <c r="QI9" s="318"/>
      <c r="QJ9" s="318"/>
      <c r="QK9" s="318"/>
      <c r="QL9" s="318"/>
      <c r="QM9" s="318"/>
      <c r="QN9" s="318"/>
      <c r="QO9" s="318"/>
      <c r="QP9" s="318"/>
      <c r="QQ9" s="318"/>
      <c r="QR9" s="318"/>
      <c r="QS9" s="318"/>
      <c r="QT9" s="318"/>
      <c r="QU9" s="318"/>
      <c r="QV9" s="318"/>
      <c r="QW9" s="318"/>
      <c r="QX9" s="318"/>
      <c r="QY9" s="318"/>
      <c r="QZ9" s="318"/>
      <c r="RA9" s="318"/>
      <c r="RB9" s="318"/>
      <c r="RC9" s="318"/>
      <c r="RD9" s="318"/>
      <c r="RE9" s="318"/>
      <c r="RF9" s="318"/>
      <c r="RG9" s="318"/>
      <c r="RH9" s="318"/>
      <c r="RI9" s="318"/>
      <c r="RJ9" s="318"/>
      <c r="RK9" s="318"/>
      <c r="RL9" s="318"/>
      <c r="RM9" s="318"/>
      <c r="RN9" s="318"/>
      <c r="RO9" s="318"/>
      <c r="RP9" s="318"/>
      <c r="RQ9" s="318"/>
      <c r="RR9" s="318"/>
      <c r="RS9" s="318"/>
      <c r="RT9" s="318"/>
      <c r="RU9" s="318"/>
      <c r="RV9" s="318"/>
      <c r="RW9" s="318"/>
      <c r="RX9" s="318"/>
      <c r="RY9" s="318"/>
      <c r="RZ9" s="318"/>
      <c r="SA9" s="318"/>
      <c r="SB9" s="318"/>
      <c r="SC9" s="318"/>
      <c r="SD9" s="318"/>
      <c r="SE9" s="318"/>
      <c r="SF9" s="318"/>
      <c r="SG9" s="318"/>
      <c r="SH9" s="318"/>
      <c r="SI9" s="318"/>
      <c r="SJ9" s="318"/>
      <c r="SK9" s="318"/>
      <c r="SL9" s="318"/>
      <c r="SM9" s="318"/>
      <c r="SN9" s="318"/>
      <c r="SO9" s="318"/>
      <c r="SP9" s="318"/>
      <c r="SQ9" s="318"/>
      <c r="SR9" s="318"/>
      <c r="SS9" s="318"/>
      <c r="ST9" s="318"/>
      <c r="SU9" s="318"/>
      <c r="SV9" s="318"/>
      <c r="SW9" s="318"/>
      <c r="SX9" s="318"/>
      <c r="SY9" s="318"/>
      <c r="SZ9" s="318"/>
      <c r="TA9" s="318"/>
      <c r="TB9" s="318"/>
      <c r="TC9" s="318"/>
      <c r="TD9" s="318"/>
      <c r="TE9" s="318"/>
      <c r="TF9" s="318"/>
      <c r="TG9" s="318"/>
      <c r="TH9" s="318"/>
      <c r="TI9" s="318"/>
      <c r="TJ9" s="318"/>
      <c r="TK9" s="318"/>
      <c r="TL9" s="318"/>
      <c r="TM9" s="318"/>
      <c r="TN9" s="318"/>
      <c r="TO9" s="318"/>
      <c r="TP9" s="318"/>
      <c r="TQ9" s="318"/>
      <c r="TR9" s="318"/>
      <c r="TS9" s="318"/>
      <c r="TT9" s="318"/>
      <c r="TU9" s="318"/>
      <c r="TV9" s="318"/>
      <c r="TW9" s="318"/>
      <c r="TX9" s="318"/>
      <c r="TY9" s="318"/>
      <c r="TZ9" s="318"/>
      <c r="UA9" s="318"/>
      <c r="UB9" s="318"/>
      <c r="UC9" s="318"/>
      <c r="UD9" s="318"/>
      <c r="UE9" s="318"/>
      <c r="UF9" s="318"/>
      <c r="UG9" s="318"/>
      <c r="UH9" s="318"/>
      <c r="UI9" s="318"/>
      <c r="UJ9" s="318"/>
      <c r="UK9" s="318"/>
      <c r="UL9" s="318"/>
      <c r="UM9" s="318"/>
      <c r="UN9" s="318"/>
      <c r="UO9" s="318"/>
      <c r="UP9" s="318"/>
      <c r="UQ9" s="318"/>
      <c r="UR9" s="318"/>
      <c r="US9" s="318"/>
      <c r="UT9" s="318"/>
      <c r="UU9" s="318"/>
      <c r="UV9" s="318"/>
      <c r="UW9" s="318"/>
      <c r="UX9" s="318"/>
      <c r="UY9" s="318"/>
      <c r="UZ9" s="318"/>
      <c r="VA9" s="318"/>
      <c r="VB9" s="318"/>
      <c r="VC9" s="318"/>
      <c r="VD9" s="318"/>
      <c r="VE9" s="318"/>
      <c r="VF9" s="318"/>
      <c r="VG9" s="318"/>
      <c r="VH9" s="318"/>
      <c r="VI9" s="318"/>
      <c r="VJ9" s="318"/>
      <c r="VK9" s="318"/>
      <c r="VL9" s="318"/>
      <c r="VM9" s="318"/>
      <c r="VN9" s="318"/>
      <c r="VO9" s="318"/>
      <c r="VP9" s="318"/>
      <c r="VQ9" s="318"/>
      <c r="VR9" s="318"/>
      <c r="VS9" s="318"/>
      <c r="VT9" s="318"/>
      <c r="VU9" s="318"/>
      <c r="VV9" s="318"/>
      <c r="VW9" s="318"/>
      <c r="VX9" s="318"/>
      <c r="VY9" s="318"/>
      <c r="VZ9" s="318"/>
      <c r="WA9" s="318"/>
      <c r="WB9" s="318"/>
      <c r="WC9" s="318"/>
      <c r="WD9" s="318"/>
      <c r="WE9" s="318"/>
      <c r="WF9" s="318"/>
      <c r="WG9" s="318"/>
      <c r="WH9" s="318"/>
      <c r="WI9" s="318"/>
      <c r="WJ9" s="318"/>
      <c r="WK9" s="318"/>
      <c r="WL9" s="318"/>
      <c r="WM9" s="318"/>
      <c r="WN9" s="318"/>
      <c r="WO9" s="318"/>
      <c r="WP9" s="318"/>
      <c r="WQ9" s="318"/>
      <c r="WR9" s="318"/>
      <c r="WS9" s="318"/>
      <c r="WT9" s="318"/>
      <c r="WU9" s="318"/>
      <c r="WV9" s="318"/>
      <c r="WW9" s="318"/>
      <c r="WX9" s="318"/>
      <c r="WY9" s="318"/>
      <c r="WZ9" s="318"/>
      <c r="XA9" s="318"/>
      <c r="XB9" s="318"/>
      <c r="XC9" s="318"/>
      <c r="XD9" s="318"/>
      <c r="XE9" s="318"/>
      <c r="XF9" s="318"/>
      <c r="XG9" s="318"/>
      <c r="XH9" s="318"/>
      <c r="XI9" s="318"/>
      <c r="XJ9" s="318"/>
      <c r="XK9" s="318"/>
      <c r="XL9" s="318"/>
      <c r="XM9" s="318"/>
      <c r="XN9" s="318"/>
      <c r="XO9" s="318"/>
      <c r="XP9" s="318"/>
      <c r="XQ9" s="318"/>
      <c r="XR9" s="318"/>
      <c r="XS9" s="318"/>
      <c r="XT9" s="318"/>
      <c r="XU9" s="318"/>
      <c r="XV9" s="318"/>
      <c r="XW9" s="318"/>
      <c r="XX9" s="318"/>
      <c r="XY9" s="318"/>
      <c r="XZ9" s="318"/>
      <c r="YA9" s="318"/>
      <c r="YB9" s="318"/>
      <c r="YC9" s="318"/>
      <c r="YD9" s="318"/>
      <c r="YE9" s="318"/>
      <c r="YF9" s="318"/>
      <c r="YG9" s="318"/>
      <c r="YH9" s="318"/>
      <c r="YI9" s="318"/>
      <c r="YJ9" s="318"/>
      <c r="YK9" s="318"/>
      <c r="YL9" s="318"/>
      <c r="YM9" s="318"/>
      <c r="YN9" s="318"/>
      <c r="YO9" s="318"/>
      <c r="YP9" s="318"/>
      <c r="YQ9" s="318"/>
      <c r="YR9" s="318"/>
      <c r="YS9" s="318"/>
      <c r="YT9" s="318"/>
      <c r="YU9" s="318"/>
      <c r="YV9" s="318"/>
      <c r="YW9" s="318"/>
      <c r="YX9" s="318"/>
      <c r="YY9" s="318"/>
      <c r="YZ9" s="318"/>
      <c r="ZA9" s="318"/>
      <c r="ZB9" s="318"/>
      <c r="ZC9" s="318"/>
      <c r="ZD9" s="318"/>
      <c r="ZE9" s="318"/>
      <c r="ZF9" s="318"/>
      <c r="ZG9" s="318"/>
      <c r="ZH9" s="318"/>
      <c r="ZI9" s="318"/>
      <c r="ZJ9" s="318"/>
      <c r="ZK9" s="318"/>
      <c r="ZL9" s="318"/>
      <c r="ZM9" s="318"/>
      <c r="ZN9" s="318"/>
      <c r="ZO9" s="318"/>
      <c r="ZP9" s="318"/>
      <c r="ZQ9" s="318"/>
      <c r="ZR9" s="318"/>
      <c r="ZS9" s="318"/>
      <c r="ZT9" s="318"/>
      <c r="ZU9" s="318"/>
      <c r="ZV9" s="318"/>
      <c r="ZW9" s="318"/>
      <c r="ZX9" s="318"/>
      <c r="ZY9" s="318"/>
      <c r="ZZ9" s="318"/>
      <c r="AAA9" s="318"/>
      <c r="AAB9" s="318"/>
      <c r="AAC9" s="318"/>
      <c r="AAD9" s="318"/>
      <c r="AAE9" s="318"/>
      <c r="AAF9" s="318"/>
      <c r="AAG9" s="318"/>
      <c r="AAH9" s="318"/>
      <c r="AAI9" s="318"/>
      <c r="AAJ9" s="318"/>
      <c r="AAK9" s="318"/>
      <c r="AAL9" s="318"/>
      <c r="AAM9" s="318"/>
      <c r="AAN9" s="318"/>
      <c r="AAO9" s="318"/>
      <c r="AAP9" s="318"/>
      <c r="AAQ9" s="318"/>
      <c r="AAR9" s="318"/>
      <c r="AAS9" s="318"/>
      <c r="AAT9" s="318"/>
      <c r="AAU9" s="318"/>
      <c r="AAV9" s="318"/>
      <c r="AAW9" s="318"/>
      <c r="AAX9" s="318"/>
      <c r="AAY9" s="318"/>
      <c r="AAZ9" s="318"/>
      <c r="ABA9" s="318"/>
      <c r="ABB9" s="318"/>
      <c r="ABC9" s="318"/>
      <c r="ABD9" s="318"/>
      <c r="ABE9" s="318"/>
      <c r="ABF9" s="318"/>
      <c r="ABG9" s="318"/>
      <c r="ABH9" s="318"/>
      <c r="ABI9" s="318"/>
      <c r="ABJ9" s="318"/>
      <c r="ABK9" s="318"/>
      <c r="ABL9" s="318"/>
      <c r="ABM9" s="318"/>
      <c r="ABN9" s="318"/>
      <c r="ABO9" s="318"/>
      <c r="ABP9" s="318"/>
      <c r="ABQ9" s="318"/>
      <c r="ABR9" s="318"/>
      <c r="ABS9" s="318"/>
      <c r="ABT9" s="318"/>
      <c r="ABU9" s="318"/>
      <c r="ABV9" s="318"/>
      <c r="ABW9" s="318"/>
      <c r="ABX9" s="318"/>
      <c r="ABY9" s="318"/>
      <c r="ABZ9" s="318"/>
      <c r="ACA9" s="318"/>
      <c r="ACB9" s="318"/>
      <c r="ACC9" s="318"/>
      <c r="ACD9" s="318"/>
      <c r="ACE9" s="318"/>
      <c r="ACF9" s="318"/>
      <c r="ACG9" s="318"/>
      <c r="ACH9" s="318"/>
      <c r="ACI9" s="318"/>
      <c r="ACJ9" s="318"/>
      <c r="ACK9" s="318"/>
      <c r="ACL9" s="318"/>
      <c r="ACM9" s="318"/>
      <c r="ACN9" s="318"/>
      <c r="ACO9" s="318"/>
      <c r="ACP9" s="318"/>
      <c r="ACQ9" s="318"/>
      <c r="ACR9" s="318"/>
      <c r="ACS9" s="318"/>
      <c r="ACT9" s="318"/>
      <c r="ACU9" s="318"/>
      <c r="ACV9" s="318"/>
      <c r="ACW9" s="318"/>
      <c r="ACX9" s="318"/>
      <c r="ACY9" s="318"/>
      <c r="ACZ9" s="318"/>
      <c r="ADA9" s="318"/>
      <c r="ADB9" s="318"/>
      <c r="ADC9" s="318"/>
      <c r="ADD9" s="318"/>
      <c r="ADE9" s="318"/>
      <c r="ADF9" s="318"/>
      <c r="ADG9" s="318"/>
      <c r="ADH9" s="318"/>
      <c r="ADI9" s="318"/>
      <c r="ADJ9" s="318"/>
      <c r="ADK9" s="318"/>
      <c r="ADL9" s="318"/>
      <c r="ADM9" s="318"/>
      <c r="ADN9" s="318"/>
      <c r="ADO9" s="318"/>
      <c r="ADP9" s="318"/>
      <c r="ADQ9" s="318"/>
      <c r="ADR9" s="318"/>
      <c r="ADS9" s="318"/>
      <c r="ADT9" s="318"/>
      <c r="ADU9" s="318"/>
      <c r="ADV9" s="318"/>
      <c r="ADW9" s="318"/>
      <c r="ADX9" s="318"/>
      <c r="ADY9" s="318"/>
      <c r="ADZ9" s="318"/>
      <c r="AEA9" s="318"/>
      <c r="AEB9" s="318"/>
      <c r="AEC9" s="318"/>
      <c r="AED9" s="318"/>
      <c r="AEE9" s="318"/>
      <c r="AEF9" s="318"/>
      <c r="AEG9" s="318"/>
      <c r="AEH9" s="318"/>
      <c r="AEI9" s="318"/>
      <c r="AEJ9" s="318"/>
      <c r="AEK9" s="318"/>
      <c r="AEL9" s="318"/>
      <c r="AEM9" s="318"/>
      <c r="AEN9" s="318"/>
      <c r="AEO9" s="318"/>
      <c r="AEP9" s="318"/>
      <c r="AEQ9" s="318"/>
      <c r="AER9" s="318"/>
      <c r="AES9" s="318"/>
      <c r="AET9" s="318"/>
      <c r="AEU9" s="318"/>
      <c r="AEV9" s="318"/>
      <c r="AEW9" s="318"/>
      <c r="AEX9" s="318"/>
      <c r="AEY9" s="318"/>
      <c r="AEZ9" s="318"/>
      <c r="AFA9" s="318"/>
      <c r="AFB9" s="318"/>
      <c r="AFC9" s="318"/>
      <c r="AFD9" s="318"/>
      <c r="AFE9" s="318"/>
      <c r="AFF9" s="318"/>
      <c r="AFG9" s="318"/>
      <c r="AFH9" s="318"/>
      <c r="AFI9" s="318"/>
      <c r="AFJ9" s="318"/>
      <c r="AFK9" s="318"/>
      <c r="AFL9" s="318"/>
      <c r="AFM9" s="318"/>
      <c r="AFN9" s="318"/>
      <c r="AFO9" s="318"/>
      <c r="AFP9" s="318"/>
      <c r="AFQ9" s="318"/>
      <c r="AFR9" s="318"/>
      <c r="AFS9" s="318"/>
      <c r="AFT9" s="318"/>
      <c r="AFU9" s="318"/>
      <c r="AFV9" s="318"/>
      <c r="AFW9" s="318"/>
      <c r="AFX9" s="318"/>
      <c r="AFY9" s="318"/>
      <c r="AFZ9" s="318"/>
      <c r="AGA9" s="318"/>
      <c r="AGB9" s="318"/>
      <c r="AGC9" s="318"/>
      <c r="AGD9" s="318"/>
      <c r="AGE9" s="318"/>
      <c r="AGF9" s="318"/>
      <c r="AGG9" s="318"/>
      <c r="AGH9" s="318"/>
      <c r="AGI9" s="318"/>
      <c r="AGJ9" s="318"/>
      <c r="AGK9" s="318"/>
      <c r="AGL9" s="318"/>
      <c r="AGM9" s="318"/>
      <c r="AGN9" s="318"/>
      <c r="AGO9" s="318"/>
      <c r="AGP9" s="318"/>
      <c r="AGQ9" s="318"/>
      <c r="AGR9" s="318"/>
      <c r="AGS9" s="318"/>
      <c r="AGT9" s="318"/>
      <c r="AGU9" s="318"/>
      <c r="AGV9" s="318"/>
      <c r="AGW9" s="318"/>
      <c r="AGX9" s="318"/>
      <c r="AGY9" s="318"/>
      <c r="AGZ9" s="318"/>
      <c r="AHA9" s="318"/>
      <c r="AHB9" s="318"/>
      <c r="AHC9" s="318"/>
      <c r="AHD9" s="318"/>
      <c r="AHE9" s="318"/>
      <c r="AHF9" s="318"/>
      <c r="AHG9" s="318"/>
      <c r="AHH9" s="318"/>
      <c r="AHI9" s="318"/>
      <c r="AHJ9" s="318"/>
      <c r="AHK9" s="318"/>
      <c r="AHL9" s="318"/>
      <c r="AHM9" s="318"/>
      <c r="AHN9" s="318"/>
      <c r="AHO9" s="318"/>
      <c r="AHP9" s="318"/>
      <c r="AHQ9" s="318"/>
      <c r="AHR9" s="318"/>
      <c r="AHS9" s="318"/>
      <c r="AHT9" s="318"/>
      <c r="AHU9" s="318"/>
      <c r="AHV9" s="318"/>
      <c r="AHW9" s="318"/>
      <c r="AHX9" s="318"/>
      <c r="AHY9" s="318"/>
      <c r="AHZ9" s="318"/>
      <c r="AIA9" s="318"/>
      <c r="AIB9" s="318"/>
      <c r="AIC9" s="318"/>
      <c r="AID9" s="318"/>
      <c r="AIE9" s="318"/>
      <c r="AIF9" s="318"/>
      <c r="AIG9" s="318"/>
      <c r="AIH9" s="318"/>
      <c r="AII9" s="318"/>
      <c r="AIJ9" s="318"/>
      <c r="AIK9" s="318"/>
      <c r="AIL9" s="318"/>
      <c r="AIM9" s="318"/>
      <c r="AIN9" s="318"/>
      <c r="AIO9" s="318"/>
      <c r="AIP9" s="318"/>
      <c r="AIQ9" s="318"/>
      <c r="AIR9" s="318"/>
      <c r="AIS9" s="318"/>
      <c r="AIT9" s="318"/>
      <c r="AIU9" s="318"/>
      <c r="AIV9" s="318"/>
      <c r="AIW9" s="318"/>
      <c r="AIX9" s="318"/>
      <c r="AIY9" s="318"/>
      <c r="AIZ9" s="318"/>
      <c r="AJA9" s="318"/>
      <c r="AJB9" s="318"/>
      <c r="AJC9" s="318"/>
      <c r="AJD9" s="318"/>
      <c r="AJE9" s="318"/>
      <c r="AJF9" s="318"/>
      <c r="AJG9" s="318"/>
      <c r="AJH9" s="318"/>
      <c r="AJI9" s="318"/>
      <c r="AJJ9" s="318"/>
      <c r="AJK9" s="318"/>
      <c r="AJL9" s="318"/>
      <c r="AJM9" s="318"/>
      <c r="AJN9" s="318"/>
      <c r="AJO9" s="318"/>
      <c r="AJP9" s="318"/>
      <c r="AJQ9" s="318"/>
      <c r="AJR9" s="318"/>
      <c r="AJS9" s="318"/>
      <c r="AJT9" s="318"/>
      <c r="AJU9" s="318"/>
      <c r="AJV9" s="318"/>
      <c r="AJW9" s="318"/>
      <c r="AJX9" s="318"/>
      <c r="AJY9" s="318"/>
      <c r="AJZ9" s="318"/>
      <c r="AKA9" s="318"/>
      <c r="AKB9" s="318"/>
      <c r="AKC9" s="318"/>
      <c r="AKD9" s="318"/>
      <c r="AKE9" s="318"/>
      <c r="AKF9" s="318"/>
      <c r="AKG9" s="318"/>
      <c r="AKH9" s="318"/>
      <c r="AKI9" s="318"/>
      <c r="AKJ9" s="318"/>
      <c r="AKK9" s="318"/>
      <c r="AKL9" s="318"/>
      <c r="AKM9" s="318"/>
      <c r="AKN9" s="318"/>
      <c r="AKO9" s="318"/>
      <c r="AKP9" s="318"/>
      <c r="AKQ9" s="318"/>
      <c r="AKR9" s="318"/>
      <c r="AKS9" s="318"/>
      <c r="AKT9" s="318"/>
      <c r="AKU9" s="318"/>
      <c r="AKV9" s="318"/>
      <c r="AKW9" s="318"/>
      <c r="AKX9" s="318"/>
      <c r="AKY9" s="318"/>
      <c r="AKZ9" s="318"/>
      <c r="ALA9" s="318"/>
      <c r="ALB9" s="318"/>
      <c r="ALC9" s="318"/>
    </row>
    <row r="10" spans="1:991" s="359" customFormat="1" ht="105.75" customHeight="1" thickBot="1" x14ac:dyDescent="0.25">
      <c r="B10" s="360"/>
      <c r="C10" s="361" t="e">
        <f>J10-#REF!</f>
        <v>#REF!</v>
      </c>
      <c r="D10" s="362" t="s">
        <v>427</v>
      </c>
      <c r="E10" s="363" t="s">
        <v>428</v>
      </c>
      <c r="F10" s="364">
        <v>60600</v>
      </c>
      <c r="G10" s="365"/>
      <c r="H10" s="366" t="s">
        <v>112</v>
      </c>
      <c r="I10" s="367" t="s">
        <v>429</v>
      </c>
      <c r="J10" s="368">
        <v>144900000</v>
      </c>
      <c r="K10" s="369">
        <v>144900000</v>
      </c>
      <c r="L10" s="370">
        <v>0</v>
      </c>
      <c r="M10" s="371">
        <v>0</v>
      </c>
      <c r="N10" s="371">
        <v>0</v>
      </c>
      <c r="O10" s="372">
        <v>0</v>
      </c>
      <c r="P10" s="370"/>
      <c r="Q10" s="371"/>
      <c r="R10" s="371">
        <v>43958000</v>
      </c>
      <c r="S10" s="373"/>
      <c r="T10" s="374"/>
      <c r="U10" s="370"/>
      <c r="V10" s="371"/>
      <c r="W10" s="371">
        <v>7150000</v>
      </c>
      <c r="X10" s="371"/>
      <c r="Y10" s="371"/>
      <c r="Z10" s="371">
        <f>43070950+3000000-7389793.56</f>
        <v>38681156.439999998</v>
      </c>
      <c r="AA10" s="371"/>
      <c r="AB10" s="373"/>
      <c r="AC10" s="373"/>
      <c r="AD10" s="373"/>
      <c r="AE10" s="373"/>
      <c r="AF10" s="371"/>
      <c r="AG10" s="373"/>
      <c r="AH10" s="375"/>
      <c r="AI10" s="374"/>
      <c r="AJ10" s="370">
        <v>446781.76</v>
      </c>
      <c r="AK10" s="371"/>
      <c r="AL10" s="376"/>
      <c r="AM10" s="376">
        <v>3853054.96</v>
      </c>
      <c r="AN10" s="376"/>
      <c r="AO10" s="376">
        <v>0</v>
      </c>
      <c r="AP10" s="377"/>
      <c r="AQ10" s="371">
        <f>3000000-3000000+7389793.56-2000000-1000000+3000000</f>
        <v>7389793.5599999996</v>
      </c>
      <c r="AR10" s="371"/>
      <c r="AS10" s="371">
        <v>3089956.84</v>
      </c>
      <c r="AT10" s="373"/>
      <c r="AU10" s="373"/>
      <c r="AV10" s="371"/>
      <c r="AW10" s="373"/>
      <c r="AX10" s="374"/>
      <c r="AY10" s="370">
        <v>47721050</v>
      </c>
      <c r="AZ10" s="378"/>
      <c r="BA10" s="379"/>
      <c r="BB10" s="380" t="s">
        <v>430</v>
      </c>
    </row>
    <row r="11" spans="1:991" s="400" customFormat="1" ht="143.25" customHeight="1" thickBot="1" x14ac:dyDescent="0.3">
      <c r="A11" s="381"/>
      <c r="B11" s="360"/>
      <c r="C11" s="361" t="e">
        <f>J11-#REF!</f>
        <v>#REF!</v>
      </c>
      <c r="D11" s="362" t="s">
        <v>431</v>
      </c>
      <c r="E11" s="382"/>
      <c r="F11" s="383">
        <v>60601</v>
      </c>
      <c r="G11" s="384"/>
      <c r="H11" s="385" t="s">
        <v>112</v>
      </c>
      <c r="I11" s="386" t="s">
        <v>432</v>
      </c>
      <c r="J11" s="387">
        <v>5000000</v>
      </c>
      <c r="K11" s="388">
        <v>0</v>
      </c>
      <c r="L11" s="389">
        <v>4000000</v>
      </c>
      <c r="M11" s="390">
        <v>1000000</v>
      </c>
      <c r="N11" s="390">
        <v>0</v>
      </c>
      <c r="O11" s="391">
        <v>0</v>
      </c>
      <c r="P11" s="389"/>
      <c r="Q11" s="390"/>
      <c r="R11" s="390"/>
      <c r="S11" s="392"/>
      <c r="T11" s="393"/>
      <c r="U11" s="389"/>
      <c r="V11" s="390"/>
      <c r="W11" s="390"/>
      <c r="X11" s="390"/>
      <c r="Y11" s="390"/>
      <c r="Z11" s="390">
        <v>5000000</v>
      </c>
      <c r="AA11" s="390"/>
      <c r="AB11" s="392"/>
      <c r="AC11" s="392"/>
      <c r="AD11" s="392"/>
      <c r="AE11" s="392"/>
      <c r="AF11" s="390"/>
      <c r="AG11" s="392"/>
      <c r="AH11" s="394"/>
      <c r="AI11" s="393"/>
      <c r="AJ11" s="389"/>
      <c r="AK11" s="390"/>
      <c r="AL11" s="395"/>
      <c r="AM11" s="376">
        <v>0</v>
      </c>
      <c r="AN11" s="395"/>
      <c r="AO11" s="376">
        <v>0</v>
      </c>
      <c r="AP11" s="396"/>
      <c r="AQ11" s="390"/>
      <c r="AR11" s="390"/>
      <c r="AS11" s="390">
        <v>0</v>
      </c>
      <c r="AT11" s="392"/>
      <c r="AU11" s="392"/>
      <c r="AV11" s="390"/>
      <c r="AW11" s="392"/>
      <c r="AX11" s="393"/>
      <c r="AY11" s="389"/>
      <c r="AZ11" s="397"/>
      <c r="BA11" s="398"/>
      <c r="BB11" s="399" t="s">
        <v>433</v>
      </c>
      <c r="BC11" s="381"/>
      <c r="BD11" s="381"/>
      <c r="BE11" s="381"/>
      <c r="BF11" s="381"/>
      <c r="BG11" s="381"/>
      <c r="BH11" s="381"/>
      <c r="BI11" s="381"/>
      <c r="BJ11" s="381"/>
      <c r="BK11" s="381"/>
      <c r="BL11" s="381"/>
      <c r="BM11" s="381"/>
      <c r="BN11" s="381"/>
      <c r="BO11" s="381"/>
      <c r="BP11" s="381"/>
      <c r="BQ11" s="381"/>
      <c r="BR11" s="381"/>
      <c r="BS11" s="381"/>
      <c r="BT11" s="381"/>
      <c r="BU11" s="381"/>
      <c r="BV11" s="381"/>
      <c r="BW11" s="381"/>
      <c r="BX11" s="381"/>
      <c r="BY11" s="381"/>
      <c r="BZ11" s="381"/>
      <c r="CA11" s="381"/>
      <c r="CB11" s="381"/>
      <c r="CC11" s="381"/>
      <c r="CD11" s="381"/>
      <c r="CE11" s="381"/>
      <c r="CF11" s="381"/>
      <c r="CG11" s="381"/>
      <c r="CH11" s="381"/>
      <c r="CI11" s="381"/>
      <c r="CJ11" s="381"/>
      <c r="CK11" s="381"/>
      <c r="CL11" s="381"/>
      <c r="CM11" s="381"/>
      <c r="CN11" s="381"/>
      <c r="CO11" s="381"/>
      <c r="CP11" s="381"/>
      <c r="CQ11" s="381"/>
      <c r="CR11" s="381"/>
      <c r="CS11" s="381"/>
      <c r="CT11" s="381"/>
      <c r="CU11" s="381"/>
      <c r="CV11" s="381"/>
      <c r="CW11" s="381"/>
      <c r="CX11" s="381"/>
      <c r="CY11" s="381"/>
      <c r="CZ11" s="381"/>
      <c r="DA11" s="381"/>
      <c r="DB11" s="381"/>
      <c r="DC11" s="381"/>
      <c r="DD11" s="381"/>
      <c r="DE11" s="381"/>
      <c r="DF11" s="381"/>
      <c r="DG11" s="381"/>
      <c r="DH11" s="381"/>
      <c r="DI11" s="381"/>
      <c r="DJ11" s="381"/>
      <c r="DK11" s="381"/>
      <c r="DL11" s="381"/>
      <c r="DM11" s="381"/>
      <c r="DN11" s="381"/>
      <c r="DO11" s="381"/>
      <c r="DP11" s="381"/>
      <c r="DQ11" s="381"/>
      <c r="DR11" s="381"/>
      <c r="DS11" s="381"/>
      <c r="DT11" s="381"/>
      <c r="DU11" s="381"/>
      <c r="DV11" s="381"/>
      <c r="DW11" s="381"/>
      <c r="DX11" s="381"/>
      <c r="DY11" s="381"/>
      <c r="DZ11" s="381"/>
      <c r="EA11" s="381"/>
      <c r="EB11" s="381"/>
      <c r="EC11" s="381"/>
      <c r="ED11" s="381"/>
      <c r="EE11" s="381"/>
      <c r="EF11" s="381"/>
      <c r="EG11" s="381"/>
      <c r="EH11" s="381"/>
      <c r="EI11" s="381"/>
      <c r="EJ11" s="381"/>
      <c r="EK11" s="381"/>
      <c r="EL11" s="381"/>
      <c r="EM11" s="381"/>
      <c r="EN11" s="381"/>
      <c r="EO11" s="381"/>
      <c r="EP11" s="381"/>
      <c r="EQ11" s="381"/>
      <c r="ER11" s="381"/>
      <c r="ES11" s="381"/>
      <c r="ET11" s="381"/>
      <c r="EU11" s="381"/>
      <c r="EV11" s="381"/>
      <c r="EW11" s="381"/>
      <c r="EX11" s="381"/>
      <c r="EY11" s="381"/>
      <c r="EZ11" s="381"/>
      <c r="FA11" s="381"/>
      <c r="FB11" s="381"/>
      <c r="FC11" s="381"/>
      <c r="FD11" s="381"/>
      <c r="FE11" s="381"/>
      <c r="FF11" s="381"/>
      <c r="FG11" s="381"/>
      <c r="FH11" s="381"/>
      <c r="FI11" s="381"/>
      <c r="FJ11" s="381"/>
      <c r="FK11" s="381"/>
      <c r="FL11" s="381"/>
      <c r="FM11" s="381"/>
      <c r="FN11" s="381"/>
      <c r="FO11" s="381"/>
      <c r="FP11" s="381"/>
      <c r="FQ11" s="381"/>
      <c r="FR11" s="381"/>
      <c r="FS11" s="381"/>
      <c r="FT11" s="381"/>
      <c r="FU11" s="381"/>
      <c r="FV11" s="381"/>
      <c r="FW11" s="381"/>
      <c r="FX11" s="381"/>
      <c r="FY11" s="381"/>
      <c r="FZ11" s="381"/>
      <c r="GA11" s="381"/>
      <c r="GB11" s="381"/>
      <c r="GC11" s="381"/>
      <c r="GD11" s="381"/>
      <c r="GE11" s="381"/>
      <c r="GF11" s="381"/>
      <c r="GG11" s="381"/>
      <c r="GH11" s="381"/>
      <c r="GI11" s="381"/>
      <c r="GJ11" s="381"/>
      <c r="GK11" s="381"/>
      <c r="GL11" s="381"/>
      <c r="GM11" s="381"/>
      <c r="GN11" s="381"/>
      <c r="GO11" s="381"/>
      <c r="GP11" s="381"/>
      <c r="GQ11" s="381"/>
      <c r="GR11" s="381"/>
      <c r="GS11" s="381"/>
      <c r="GT11" s="381"/>
      <c r="GU11" s="381"/>
      <c r="GV11" s="381"/>
      <c r="GW11" s="381"/>
      <c r="GX11" s="381"/>
      <c r="GY11" s="381"/>
      <c r="GZ11" s="381"/>
      <c r="HA11" s="381"/>
      <c r="HB11" s="381"/>
      <c r="HC11" s="381"/>
      <c r="HD11" s="381"/>
      <c r="HE11" s="381"/>
      <c r="HF11" s="381"/>
      <c r="HG11" s="381"/>
      <c r="HH11" s="381"/>
      <c r="HI11" s="381"/>
      <c r="HJ11" s="381"/>
      <c r="HK11" s="381"/>
      <c r="HL11" s="381"/>
      <c r="HM11" s="381"/>
      <c r="HN11" s="381"/>
      <c r="HO11" s="381"/>
      <c r="HP11" s="381"/>
      <c r="HQ11" s="381"/>
      <c r="HR11" s="381"/>
      <c r="HS11" s="381"/>
      <c r="HT11" s="381"/>
      <c r="HU11" s="381"/>
      <c r="HV11" s="381"/>
      <c r="HW11" s="381"/>
      <c r="HX11" s="381"/>
      <c r="HY11" s="381"/>
      <c r="HZ11" s="381"/>
      <c r="IA11" s="381"/>
      <c r="IB11" s="381"/>
      <c r="IC11" s="381"/>
      <c r="ID11" s="381"/>
      <c r="IE11" s="381"/>
      <c r="IF11" s="381"/>
      <c r="IG11" s="381"/>
      <c r="IH11" s="381"/>
      <c r="II11" s="381"/>
      <c r="IJ11" s="381"/>
      <c r="IK11" s="381"/>
      <c r="IL11" s="381"/>
      <c r="IM11" s="381"/>
      <c r="IN11" s="381"/>
      <c r="IO11" s="381"/>
      <c r="IP11" s="381"/>
      <c r="IQ11" s="381"/>
      <c r="IR11" s="381"/>
      <c r="IS11" s="381"/>
      <c r="IT11" s="381"/>
      <c r="IU11" s="381"/>
      <c r="IV11" s="381"/>
      <c r="IW11" s="381"/>
      <c r="IX11" s="381"/>
      <c r="IY11" s="381"/>
      <c r="IZ11" s="381"/>
      <c r="JA11" s="381"/>
      <c r="JB11" s="381"/>
      <c r="JC11" s="381"/>
      <c r="JD11" s="381"/>
      <c r="JE11" s="381"/>
      <c r="JF11" s="381"/>
      <c r="JG11" s="381"/>
      <c r="JH11" s="381"/>
      <c r="JI11" s="381"/>
      <c r="JJ11" s="381"/>
      <c r="JK11" s="381"/>
      <c r="JL11" s="381"/>
      <c r="JM11" s="381"/>
      <c r="JN11" s="381"/>
      <c r="JO11" s="381"/>
      <c r="JP11" s="381"/>
      <c r="JQ11" s="381"/>
      <c r="JR11" s="381"/>
      <c r="JS11" s="381"/>
      <c r="JT11" s="381"/>
      <c r="JU11" s="381"/>
      <c r="JV11" s="381"/>
      <c r="JW11" s="381"/>
      <c r="JX11" s="381"/>
      <c r="JY11" s="381"/>
      <c r="JZ11" s="381"/>
      <c r="KA11" s="381"/>
      <c r="KB11" s="381"/>
      <c r="KC11" s="381"/>
      <c r="KD11" s="381"/>
      <c r="KE11" s="381"/>
      <c r="KF11" s="381"/>
      <c r="KG11" s="381"/>
      <c r="KH11" s="381"/>
      <c r="KI11" s="381"/>
      <c r="KJ11" s="381"/>
      <c r="KK11" s="381"/>
      <c r="KL11" s="381"/>
      <c r="KM11" s="381"/>
      <c r="KN11" s="381"/>
      <c r="KO11" s="381"/>
      <c r="KP11" s="381"/>
      <c r="KQ11" s="381"/>
      <c r="KR11" s="381"/>
      <c r="KS11" s="381"/>
      <c r="KT11" s="381"/>
      <c r="KU11" s="381"/>
      <c r="KV11" s="381"/>
      <c r="KW11" s="381"/>
      <c r="KX11" s="381"/>
      <c r="KY11" s="381"/>
      <c r="KZ11" s="381"/>
      <c r="LA11" s="381"/>
      <c r="LB11" s="381"/>
      <c r="LC11" s="381"/>
      <c r="LD11" s="381"/>
      <c r="LE11" s="381"/>
      <c r="LF11" s="381"/>
      <c r="LG11" s="381"/>
      <c r="LH11" s="381"/>
      <c r="LI11" s="381"/>
      <c r="LJ11" s="381"/>
      <c r="LK11" s="381"/>
      <c r="LL11" s="381"/>
      <c r="LM11" s="381"/>
      <c r="LN11" s="381"/>
      <c r="LO11" s="381"/>
      <c r="LP11" s="381"/>
      <c r="LQ11" s="381"/>
      <c r="LR11" s="381"/>
      <c r="LS11" s="381"/>
      <c r="LT11" s="381"/>
      <c r="LU11" s="381"/>
      <c r="LV11" s="381"/>
      <c r="LW11" s="381"/>
      <c r="LX11" s="381"/>
      <c r="LY11" s="381"/>
      <c r="LZ11" s="381"/>
      <c r="MA11" s="381"/>
      <c r="MB11" s="381"/>
      <c r="MC11" s="381"/>
      <c r="MD11" s="381"/>
      <c r="ME11" s="381"/>
      <c r="MF11" s="381"/>
      <c r="MG11" s="381"/>
      <c r="MH11" s="381"/>
      <c r="MI11" s="381"/>
      <c r="MJ11" s="381"/>
      <c r="MK11" s="381"/>
      <c r="ML11" s="381"/>
      <c r="MM11" s="381"/>
      <c r="MN11" s="381"/>
      <c r="MO11" s="381"/>
      <c r="MP11" s="381"/>
      <c r="MQ11" s="381"/>
      <c r="MR11" s="381"/>
      <c r="MS11" s="381"/>
      <c r="MT11" s="381"/>
      <c r="MU11" s="381"/>
      <c r="MV11" s="381"/>
      <c r="MW11" s="381"/>
      <c r="MX11" s="381"/>
      <c r="MY11" s="381"/>
      <c r="MZ11" s="381"/>
      <c r="NA11" s="381"/>
      <c r="NB11" s="381"/>
      <c r="NC11" s="381"/>
      <c r="ND11" s="381"/>
      <c r="NE11" s="381"/>
      <c r="NF11" s="381"/>
      <c r="NG11" s="381"/>
      <c r="NH11" s="381"/>
      <c r="NI11" s="381"/>
      <c r="NJ11" s="381"/>
      <c r="NK11" s="381"/>
      <c r="NL11" s="381"/>
      <c r="NM11" s="381"/>
      <c r="NN11" s="381"/>
      <c r="NO11" s="381"/>
      <c r="NP11" s="381"/>
      <c r="NQ11" s="381"/>
      <c r="NR11" s="381"/>
      <c r="NS11" s="381"/>
      <c r="NT11" s="381"/>
      <c r="NU11" s="381"/>
      <c r="NV11" s="381"/>
      <c r="NW11" s="381"/>
      <c r="NX11" s="381"/>
      <c r="NY11" s="381"/>
      <c r="NZ11" s="381"/>
      <c r="OA11" s="381"/>
      <c r="OB11" s="381"/>
      <c r="OC11" s="381"/>
      <c r="OD11" s="381"/>
      <c r="OE11" s="381"/>
      <c r="OF11" s="381"/>
      <c r="OG11" s="381"/>
      <c r="OH11" s="381"/>
      <c r="OI11" s="381"/>
      <c r="OJ11" s="381"/>
      <c r="OK11" s="381"/>
      <c r="OL11" s="381"/>
      <c r="OM11" s="381"/>
      <c r="ON11" s="381"/>
      <c r="OO11" s="381"/>
      <c r="OP11" s="381"/>
      <c r="OQ11" s="381"/>
      <c r="OR11" s="381"/>
      <c r="OS11" s="381"/>
      <c r="OT11" s="381"/>
      <c r="OU11" s="381"/>
      <c r="OV11" s="381"/>
      <c r="OW11" s="381"/>
      <c r="OX11" s="381"/>
      <c r="OY11" s="381"/>
      <c r="OZ11" s="381"/>
      <c r="PA11" s="381"/>
      <c r="PB11" s="381"/>
      <c r="PC11" s="381"/>
      <c r="PD11" s="381"/>
      <c r="PE11" s="381"/>
      <c r="PF11" s="381"/>
      <c r="PG11" s="381"/>
      <c r="PH11" s="381"/>
      <c r="PI11" s="381"/>
      <c r="PJ11" s="381"/>
      <c r="PK11" s="381"/>
      <c r="PL11" s="381"/>
      <c r="PM11" s="381"/>
      <c r="PN11" s="381"/>
      <c r="PO11" s="381"/>
      <c r="PP11" s="381"/>
      <c r="PQ11" s="381"/>
      <c r="PR11" s="381"/>
      <c r="PS11" s="381"/>
      <c r="PT11" s="381"/>
      <c r="PU11" s="381"/>
      <c r="PV11" s="381"/>
      <c r="PW11" s="381"/>
      <c r="PX11" s="381"/>
      <c r="PY11" s="381"/>
      <c r="PZ11" s="381"/>
      <c r="QA11" s="381"/>
      <c r="QB11" s="381"/>
      <c r="QC11" s="381"/>
      <c r="QD11" s="381"/>
      <c r="QE11" s="381"/>
      <c r="QF11" s="381"/>
      <c r="QG11" s="381"/>
      <c r="QH11" s="381"/>
      <c r="QI11" s="381"/>
      <c r="QJ11" s="381"/>
      <c r="QK11" s="381"/>
      <c r="QL11" s="381"/>
      <c r="QM11" s="381"/>
      <c r="QN11" s="381"/>
      <c r="QO11" s="381"/>
      <c r="QP11" s="381"/>
      <c r="QQ11" s="381"/>
      <c r="QR11" s="381"/>
      <c r="QS11" s="381"/>
      <c r="QT11" s="381"/>
      <c r="QU11" s="381"/>
      <c r="QV11" s="381"/>
      <c r="QW11" s="381"/>
      <c r="QX11" s="381"/>
      <c r="QY11" s="381"/>
      <c r="QZ11" s="381"/>
      <c r="RA11" s="381"/>
      <c r="RB11" s="381"/>
      <c r="RC11" s="381"/>
      <c r="RD11" s="381"/>
      <c r="RE11" s="381"/>
      <c r="RF11" s="381"/>
      <c r="RG11" s="381"/>
      <c r="RH11" s="381"/>
      <c r="RI11" s="381"/>
      <c r="RJ11" s="381"/>
      <c r="RK11" s="381"/>
      <c r="RL11" s="381"/>
      <c r="RM11" s="381"/>
      <c r="RN11" s="381"/>
      <c r="RO11" s="381"/>
      <c r="RP11" s="381"/>
      <c r="RQ11" s="381"/>
      <c r="RR11" s="381"/>
      <c r="RS11" s="381"/>
      <c r="RT11" s="381"/>
      <c r="RU11" s="381"/>
      <c r="RV11" s="381"/>
      <c r="RW11" s="381"/>
      <c r="RX11" s="381"/>
      <c r="RY11" s="381"/>
      <c r="RZ11" s="381"/>
      <c r="SA11" s="381"/>
      <c r="SB11" s="381"/>
      <c r="SC11" s="381"/>
      <c r="SD11" s="381"/>
      <c r="SE11" s="381"/>
      <c r="SF11" s="381"/>
      <c r="SG11" s="381"/>
      <c r="SH11" s="381"/>
      <c r="SI11" s="381"/>
      <c r="SJ11" s="381"/>
      <c r="SK11" s="381"/>
      <c r="SL11" s="381"/>
      <c r="SM11" s="381"/>
      <c r="SN11" s="381"/>
      <c r="SO11" s="381"/>
      <c r="SP11" s="381"/>
      <c r="SQ11" s="381"/>
      <c r="SR11" s="381"/>
      <c r="SS11" s="381"/>
      <c r="ST11" s="381"/>
      <c r="SU11" s="381"/>
      <c r="SV11" s="381"/>
      <c r="SW11" s="381"/>
      <c r="SX11" s="381"/>
      <c r="SY11" s="381"/>
      <c r="SZ11" s="381"/>
      <c r="TA11" s="381"/>
      <c r="TB11" s="381"/>
      <c r="TC11" s="381"/>
      <c r="TD11" s="381"/>
      <c r="TE11" s="381"/>
      <c r="TF11" s="381"/>
      <c r="TG11" s="381"/>
      <c r="TH11" s="381"/>
      <c r="TI11" s="381"/>
      <c r="TJ11" s="381"/>
      <c r="TK11" s="381"/>
      <c r="TL11" s="381"/>
      <c r="TM11" s="381"/>
      <c r="TN11" s="381"/>
      <c r="TO11" s="381"/>
      <c r="TP11" s="381"/>
      <c r="TQ11" s="381"/>
      <c r="TR11" s="381"/>
      <c r="TS11" s="381"/>
      <c r="TT11" s="381"/>
      <c r="TU11" s="381"/>
      <c r="TV11" s="381"/>
      <c r="TW11" s="381"/>
      <c r="TX11" s="381"/>
      <c r="TY11" s="381"/>
      <c r="TZ11" s="381"/>
      <c r="UA11" s="381"/>
      <c r="UB11" s="381"/>
      <c r="UC11" s="381"/>
      <c r="UD11" s="381"/>
      <c r="UE11" s="381"/>
      <c r="UF11" s="381"/>
      <c r="UG11" s="381"/>
      <c r="UH11" s="381"/>
      <c r="UI11" s="381"/>
      <c r="UJ11" s="381"/>
      <c r="UK11" s="381"/>
      <c r="UL11" s="381"/>
      <c r="UM11" s="381"/>
      <c r="UN11" s="381"/>
      <c r="UO11" s="381"/>
      <c r="UP11" s="381"/>
      <c r="UQ11" s="381"/>
      <c r="UR11" s="381"/>
      <c r="US11" s="381"/>
      <c r="UT11" s="381"/>
      <c r="UU11" s="381"/>
      <c r="UV11" s="381"/>
      <c r="UW11" s="381"/>
      <c r="UX11" s="381"/>
      <c r="UY11" s="381"/>
      <c r="UZ11" s="381"/>
      <c r="VA11" s="381"/>
      <c r="VB11" s="381"/>
      <c r="VC11" s="381"/>
      <c r="VD11" s="381"/>
      <c r="VE11" s="381"/>
      <c r="VF11" s="381"/>
      <c r="VG11" s="381"/>
      <c r="VH11" s="381"/>
      <c r="VI11" s="381"/>
      <c r="VJ11" s="381"/>
      <c r="VK11" s="381"/>
      <c r="VL11" s="381"/>
      <c r="VM11" s="381"/>
      <c r="VN11" s="381"/>
      <c r="VO11" s="381"/>
      <c r="VP11" s="381"/>
      <c r="VQ11" s="381"/>
      <c r="VR11" s="381"/>
      <c r="VS11" s="381"/>
      <c r="VT11" s="381"/>
      <c r="VU11" s="381"/>
      <c r="VV11" s="381"/>
      <c r="VW11" s="381"/>
      <c r="VX11" s="381"/>
      <c r="VY11" s="381"/>
      <c r="VZ11" s="381"/>
      <c r="WA11" s="381"/>
      <c r="WB11" s="381"/>
      <c r="WC11" s="381"/>
      <c r="WD11" s="381"/>
      <c r="WE11" s="381"/>
      <c r="WF11" s="381"/>
      <c r="WG11" s="381"/>
      <c r="WH11" s="381"/>
      <c r="WI11" s="381"/>
      <c r="WJ11" s="381"/>
      <c r="WK11" s="381"/>
      <c r="WL11" s="381"/>
      <c r="WM11" s="381"/>
      <c r="WN11" s="381"/>
      <c r="WO11" s="381"/>
      <c r="WP11" s="381"/>
      <c r="WQ11" s="381"/>
      <c r="WR11" s="381"/>
      <c r="WS11" s="381"/>
      <c r="WT11" s="381"/>
      <c r="WU11" s="381"/>
      <c r="WV11" s="381"/>
      <c r="WW11" s="381"/>
      <c r="WX11" s="381"/>
      <c r="WY11" s="381"/>
      <c r="WZ11" s="381"/>
      <c r="XA11" s="381"/>
      <c r="XB11" s="381"/>
      <c r="XC11" s="381"/>
      <c r="XD11" s="381"/>
      <c r="XE11" s="381"/>
      <c r="XF11" s="381"/>
      <c r="XG11" s="381"/>
      <c r="XH11" s="381"/>
      <c r="XI11" s="381"/>
      <c r="XJ11" s="381"/>
      <c r="XK11" s="381"/>
      <c r="XL11" s="381"/>
      <c r="XM11" s="381"/>
      <c r="XN11" s="381"/>
      <c r="XO11" s="381"/>
      <c r="XP11" s="381"/>
      <c r="XQ11" s="381"/>
      <c r="XR11" s="381"/>
      <c r="XS11" s="381"/>
      <c r="XT11" s="381"/>
      <c r="XU11" s="381"/>
      <c r="XV11" s="381"/>
      <c r="XW11" s="381"/>
      <c r="XX11" s="381"/>
      <c r="XY11" s="381"/>
      <c r="XZ11" s="381"/>
      <c r="YA11" s="381"/>
      <c r="YB11" s="381"/>
      <c r="YC11" s="381"/>
      <c r="YD11" s="381"/>
      <c r="YE11" s="381"/>
      <c r="YF11" s="381"/>
      <c r="YG11" s="381"/>
      <c r="YH11" s="381"/>
      <c r="YI11" s="381"/>
      <c r="YJ11" s="381"/>
      <c r="YK11" s="381"/>
      <c r="YL11" s="381"/>
      <c r="YM11" s="381"/>
      <c r="YN11" s="381"/>
      <c r="YO11" s="381"/>
      <c r="YP11" s="381"/>
      <c r="YQ11" s="381"/>
      <c r="YR11" s="381"/>
      <c r="YS11" s="381"/>
      <c r="YT11" s="381"/>
      <c r="YU11" s="381"/>
      <c r="YV11" s="381"/>
      <c r="YW11" s="381"/>
      <c r="YX11" s="381"/>
      <c r="YY11" s="381"/>
      <c r="YZ11" s="381"/>
      <c r="ZA11" s="381"/>
      <c r="ZB11" s="381"/>
      <c r="ZC11" s="381"/>
      <c r="ZD11" s="381"/>
      <c r="ZE11" s="381"/>
      <c r="ZF11" s="381"/>
      <c r="ZG11" s="381"/>
      <c r="ZH11" s="381"/>
      <c r="ZI11" s="381"/>
      <c r="ZJ11" s="381"/>
      <c r="ZK11" s="381"/>
      <c r="ZL11" s="381"/>
      <c r="ZM11" s="381"/>
      <c r="ZN11" s="381"/>
      <c r="ZO11" s="381"/>
      <c r="ZP11" s="381"/>
      <c r="ZQ11" s="381"/>
      <c r="ZR11" s="381"/>
      <c r="ZS11" s="381"/>
      <c r="ZT11" s="381"/>
      <c r="ZU11" s="381"/>
      <c r="ZV11" s="381"/>
      <c r="ZW11" s="381"/>
      <c r="ZX11" s="381"/>
      <c r="ZY11" s="381"/>
      <c r="ZZ11" s="381"/>
      <c r="AAA11" s="381"/>
      <c r="AAB11" s="381"/>
      <c r="AAC11" s="381"/>
      <c r="AAD11" s="381"/>
      <c r="AAE11" s="381"/>
      <c r="AAF11" s="381"/>
      <c r="AAG11" s="381"/>
      <c r="AAH11" s="381"/>
      <c r="AAI11" s="381"/>
      <c r="AAJ11" s="381"/>
      <c r="AAK11" s="381"/>
      <c r="AAL11" s="381"/>
      <c r="AAM11" s="381"/>
      <c r="AAN11" s="381"/>
      <c r="AAO11" s="381"/>
      <c r="AAP11" s="381"/>
      <c r="AAQ11" s="381"/>
      <c r="AAR11" s="381"/>
      <c r="AAS11" s="381"/>
      <c r="AAT11" s="381"/>
      <c r="AAU11" s="381"/>
      <c r="AAV11" s="381"/>
      <c r="AAW11" s="381"/>
      <c r="AAX11" s="381"/>
      <c r="AAY11" s="381"/>
      <c r="AAZ11" s="381"/>
      <c r="ABA11" s="381"/>
      <c r="ABB11" s="381"/>
      <c r="ABC11" s="381"/>
      <c r="ABD11" s="381"/>
      <c r="ABE11" s="381"/>
      <c r="ABF11" s="381"/>
      <c r="ABG11" s="381"/>
      <c r="ABH11" s="381"/>
      <c r="ABI11" s="381"/>
      <c r="ABJ11" s="381"/>
      <c r="ABK11" s="381"/>
      <c r="ABL11" s="381"/>
      <c r="ABM11" s="381"/>
      <c r="ABN11" s="381"/>
      <c r="ABO11" s="381"/>
      <c r="ABP11" s="381"/>
      <c r="ABQ11" s="381"/>
      <c r="ABR11" s="381"/>
      <c r="ABS11" s="381"/>
      <c r="ABT11" s="381"/>
      <c r="ABU11" s="381"/>
      <c r="ABV11" s="381"/>
      <c r="ABW11" s="381"/>
      <c r="ABX11" s="381"/>
      <c r="ABY11" s="381"/>
      <c r="ABZ11" s="381"/>
      <c r="ACA11" s="381"/>
      <c r="ACB11" s="381"/>
      <c r="ACC11" s="381"/>
      <c r="ACD11" s="381"/>
      <c r="ACE11" s="381"/>
      <c r="ACF11" s="381"/>
      <c r="ACG11" s="381"/>
      <c r="ACH11" s="381"/>
      <c r="ACI11" s="381"/>
      <c r="ACJ11" s="381"/>
      <c r="ACK11" s="381"/>
      <c r="ACL11" s="381"/>
      <c r="ACM11" s="381"/>
      <c r="ACN11" s="381"/>
      <c r="ACO11" s="381"/>
      <c r="ACP11" s="381"/>
      <c r="ACQ11" s="381"/>
      <c r="ACR11" s="381"/>
      <c r="ACS11" s="381"/>
      <c r="ACT11" s="381"/>
      <c r="ACU11" s="381"/>
      <c r="ACV11" s="381"/>
      <c r="ACW11" s="381"/>
      <c r="ACX11" s="381"/>
      <c r="ACY11" s="381"/>
      <c r="ACZ11" s="381"/>
      <c r="ADA11" s="381"/>
      <c r="ADB11" s="381"/>
      <c r="ADC11" s="381"/>
      <c r="ADD11" s="381"/>
      <c r="ADE11" s="381"/>
      <c r="ADF11" s="381"/>
      <c r="ADG11" s="381"/>
      <c r="ADH11" s="381"/>
      <c r="ADI11" s="381"/>
      <c r="ADJ11" s="381"/>
      <c r="ADK11" s="381"/>
      <c r="ADL11" s="381"/>
      <c r="ADM11" s="381"/>
      <c r="ADN11" s="381"/>
      <c r="ADO11" s="381"/>
      <c r="ADP11" s="381"/>
      <c r="ADQ11" s="381"/>
      <c r="ADR11" s="381"/>
      <c r="ADS11" s="381"/>
      <c r="ADT11" s="381"/>
      <c r="ADU11" s="381"/>
      <c r="ADV11" s="381"/>
      <c r="ADW11" s="381"/>
      <c r="ADX11" s="381"/>
      <c r="ADY11" s="381"/>
      <c r="ADZ11" s="381"/>
      <c r="AEA11" s="381"/>
      <c r="AEB11" s="381"/>
      <c r="AEC11" s="381"/>
      <c r="AED11" s="381"/>
      <c r="AEE11" s="381"/>
      <c r="AEF11" s="381"/>
      <c r="AEG11" s="381"/>
      <c r="AEH11" s="381"/>
      <c r="AEI11" s="381"/>
      <c r="AEJ11" s="381"/>
      <c r="AEK11" s="381"/>
      <c r="AEL11" s="381"/>
      <c r="AEM11" s="381"/>
      <c r="AEN11" s="381"/>
      <c r="AEO11" s="381"/>
      <c r="AEP11" s="381"/>
      <c r="AEQ11" s="381"/>
      <c r="AER11" s="381"/>
      <c r="AES11" s="381"/>
      <c r="AET11" s="381"/>
      <c r="AEU11" s="381"/>
      <c r="AEV11" s="381"/>
      <c r="AEW11" s="381"/>
      <c r="AEX11" s="381"/>
      <c r="AEY11" s="381"/>
      <c r="AEZ11" s="381"/>
      <c r="AFA11" s="381"/>
      <c r="AFB11" s="381"/>
      <c r="AFC11" s="381"/>
      <c r="AFD11" s="381"/>
      <c r="AFE11" s="381"/>
      <c r="AFF11" s="381"/>
      <c r="AFG11" s="381"/>
      <c r="AFH11" s="381"/>
      <c r="AFI11" s="381"/>
      <c r="AFJ11" s="381"/>
      <c r="AFK11" s="381"/>
      <c r="AFL11" s="381"/>
      <c r="AFM11" s="381"/>
      <c r="AFN11" s="381"/>
      <c r="AFO11" s="381"/>
      <c r="AFP11" s="381"/>
      <c r="AFQ11" s="381"/>
      <c r="AFR11" s="381"/>
      <c r="AFS11" s="381"/>
      <c r="AFT11" s="381"/>
      <c r="AFU11" s="381"/>
      <c r="AFV11" s="381"/>
      <c r="AFW11" s="381"/>
      <c r="AFX11" s="381"/>
      <c r="AFY11" s="381"/>
      <c r="AFZ11" s="381"/>
      <c r="AGA11" s="381"/>
      <c r="AGB11" s="381"/>
      <c r="AGC11" s="381"/>
      <c r="AGD11" s="381"/>
      <c r="AGE11" s="381"/>
      <c r="AGF11" s="381"/>
      <c r="AGG11" s="381"/>
      <c r="AGH11" s="381"/>
      <c r="AGI11" s="381"/>
      <c r="AGJ11" s="381"/>
      <c r="AGK11" s="381"/>
      <c r="AGL11" s="381"/>
      <c r="AGM11" s="381"/>
      <c r="AGN11" s="381"/>
      <c r="AGO11" s="381"/>
      <c r="AGP11" s="381"/>
      <c r="AGQ11" s="381"/>
      <c r="AGR11" s="381"/>
      <c r="AGS11" s="381"/>
      <c r="AGT11" s="381"/>
      <c r="AGU11" s="381"/>
      <c r="AGV11" s="381"/>
      <c r="AGW11" s="381"/>
      <c r="AGX11" s="381"/>
      <c r="AGY11" s="381"/>
      <c r="AGZ11" s="381"/>
      <c r="AHA11" s="381"/>
      <c r="AHB11" s="381"/>
      <c r="AHC11" s="381"/>
      <c r="AHD11" s="381"/>
      <c r="AHE11" s="381"/>
      <c r="AHF11" s="381"/>
      <c r="AHG11" s="381"/>
      <c r="AHH11" s="381"/>
      <c r="AHI11" s="381"/>
      <c r="AHJ11" s="381"/>
      <c r="AHK11" s="381"/>
      <c r="AHL11" s="381"/>
      <c r="AHM11" s="381"/>
      <c r="AHN11" s="381"/>
      <c r="AHO11" s="381"/>
      <c r="AHP11" s="381"/>
      <c r="AHQ11" s="381"/>
      <c r="AHR11" s="381"/>
      <c r="AHS11" s="381"/>
      <c r="AHT11" s="381"/>
      <c r="AHU11" s="381"/>
      <c r="AHV11" s="381"/>
      <c r="AHW11" s="381"/>
      <c r="AHX11" s="381"/>
      <c r="AHY11" s="381"/>
      <c r="AHZ11" s="381"/>
      <c r="AIA11" s="381"/>
      <c r="AIB11" s="381"/>
      <c r="AIC11" s="381"/>
      <c r="AID11" s="381"/>
      <c r="AIE11" s="381"/>
      <c r="AIF11" s="381"/>
      <c r="AIG11" s="381"/>
      <c r="AIH11" s="381"/>
      <c r="AII11" s="381"/>
      <c r="AIJ11" s="381"/>
      <c r="AIK11" s="381"/>
      <c r="AIL11" s="381"/>
      <c r="AIM11" s="381"/>
      <c r="AIN11" s="381"/>
      <c r="AIO11" s="381"/>
      <c r="AIP11" s="381"/>
      <c r="AIQ11" s="381"/>
      <c r="AIR11" s="381"/>
      <c r="AIS11" s="381"/>
      <c r="AIT11" s="381"/>
      <c r="AIU11" s="381"/>
      <c r="AIV11" s="381"/>
      <c r="AIW11" s="381"/>
      <c r="AIX11" s="381"/>
      <c r="AIY11" s="381"/>
      <c r="AIZ11" s="381"/>
      <c r="AJA11" s="381"/>
      <c r="AJB11" s="381"/>
      <c r="AJC11" s="381"/>
      <c r="AJD11" s="381"/>
      <c r="AJE11" s="381"/>
      <c r="AJF11" s="381"/>
      <c r="AJG11" s="381"/>
      <c r="AJH11" s="381"/>
      <c r="AJI11" s="381"/>
      <c r="AJJ11" s="381"/>
      <c r="AJK11" s="381"/>
      <c r="AJL11" s="381"/>
      <c r="AJM11" s="381"/>
      <c r="AJN11" s="381"/>
      <c r="AJO11" s="381"/>
      <c r="AJP11" s="381"/>
      <c r="AJQ11" s="381"/>
      <c r="AJR11" s="381"/>
      <c r="AJS11" s="381"/>
      <c r="AJT11" s="381"/>
      <c r="AJU11" s="381"/>
      <c r="AJV11" s="381"/>
      <c r="AJW11" s="381"/>
      <c r="AJX11" s="381"/>
      <c r="AJY11" s="381"/>
      <c r="AJZ11" s="381"/>
      <c r="AKA11" s="381"/>
      <c r="AKB11" s="381"/>
      <c r="AKC11" s="381"/>
      <c r="AKD11" s="381"/>
      <c r="AKE11" s="381"/>
      <c r="AKF11" s="381"/>
      <c r="AKG11" s="381"/>
      <c r="AKH11" s="381"/>
      <c r="AKI11" s="381"/>
      <c r="AKJ11" s="381"/>
      <c r="AKK11" s="381"/>
      <c r="AKL11" s="381"/>
      <c r="AKM11" s="381"/>
      <c r="AKN11" s="381"/>
      <c r="AKO11" s="381"/>
      <c r="AKP11" s="381"/>
      <c r="AKQ11" s="381"/>
      <c r="AKR11" s="381"/>
      <c r="AKS11" s="381"/>
      <c r="AKT11" s="381"/>
      <c r="AKU11" s="381"/>
      <c r="AKV11" s="381"/>
      <c r="AKW11" s="381"/>
      <c r="AKX11" s="381"/>
      <c r="AKY11" s="381"/>
      <c r="AKZ11" s="381"/>
      <c r="ALA11" s="381"/>
      <c r="ALB11" s="381"/>
      <c r="ALC11" s="381"/>
    </row>
    <row r="12" spans="1:991" s="400" customFormat="1" ht="91.5" customHeight="1" thickBot="1" x14ac:dyDescent="0.3">
      <c r="A12" s="381"/>
      <c r="B12" s="360"/>
      <c r="C12" s="361"/>
      <c r="D12" s="362" t="s">
        <v>434</v>
      </c>
      <c r="E12" s="382" t="s">
        <v>435</v>
      </c>
      <c r="F12" s="383">
        <v>60601</v>
      </c>
      <c r="G12" s="384"/>
      <c r="H12" s="385" t="s">
        <v>112</v>
      </c>
      <c r="I12" s="386" t="s">
        <v>436</v>
      </c>
      <c r="J12" s="387">
        <v>3788216.83</v>
      </c>
      <c r="K12" s="388">
        <v>3788216.83</v>
      </c>
      <c r="L12" s="389">
        <v>0</v>
      </c>
      <c r="M12" s="390">
        <v>0</v>
      </c>
      <c r="N12" s="390">
        <v>0</v>
      </c>
      <c r="O12" s="391">
        <v>0</v>
      </c>
      <c r="P12" s="389"/>
      <c r="Q12" s="390"/>
      <c r="R12" s="390"/>
      <c r="S12" s="392"/>
      <c r="T12" s="393"/>
      <c r="U12" s="389"/>
      <c r="V12" s="390"/>
      <c r="W12" s="390"/>
      <c r="X12" s="390"/>
      <c r="Y12" s="390"/>
      <c r="Z12" s="390">
        <v>2425270</v>
      </c>
      <c r="AA12" s="390"/>
      <c r="AB12" s="392"/>
      <c r="AC12" s="392"/>
      <c r="AD12" s="392"/>
      <c r="AE12" s="392"/>
      <c r="AF12" s="390"/>
      <c r="AG12" s="392"/>
      <c r="AH12" s="394"/>
      <c r="AI12" s="393"/>
      <c r="AJ12" s="389">
        <f>1894730-531783.17</f>
        <v>1362946.83</v>
      </c>
      <c r="AK12" s="390"/>
      <c r="AL12" s="395"/>
      <c r="AM12" s="376">
        <v>0</v>
      </c>
      <c r="AN12" s="395"/>
      <c r="AO12" s="376">
        <v>0</v>
      </c>
      <c r="AP12" s="396"/>
      <c r="AQ12" s="390"/>
      <c r="AR12" s="390"/>
      <c r="AS12" s="390">
        <v>0</v>
      </c>
      <c r="AT12" s="392"/>
      <c r="AU12" s="392"/>
      <c r="AV12" s="390"/>
      <c r="AW12" s="392"/>
      <c r="AX12" s="393"/>
      <c r="AY12" s="389"/>
      <c r="AZ12" s="397"/>
      <c r="BA12" s="398"/>
      <c r="BB12" s="399" t="s">
        <v>437</v>
      </c>
      <c r="BC12" s="381"/>
      <c r="BD12" s="381"/>
      <c r="BE12" s="381"/>
      <c r="BF12" s="381"/>
      <c r="BG12" s="381"/>
      <c r="BH12" s="381"/>
      <c r="BI12" s="381"/>
      <c r="BJ12" s="381"/>
      <c r="BK12" s="381"/>
      <c r="BL12" s="381"/>
      <c r="BM12" s="381"/>
      <c r="BN12" s="381"/>
      <c r="BO12" s="381"/>
      <c r="BP12" s="381"/>
      <c r="BQ12" s="381"/>
      <c r="BR12" s="381"/>
      <c r="BS12" s="381"/>
      <c r="BT12" s="381"/>
      <c r="BU12" s="381"/>
      <c r="BV12" s="381"/>
      <c r="BW12" s="381"/>
      <c r="BX12" s="381"/>
      <c r="BY12" s="381"/>
      <c r="BZ12" s="381"/>
      <c r="CA12" s="381"/>
      <c r="CB12" s="381"/>
      <c r="CC12" s="381"/>
      <c r="CD12" s="381"/>
      <c r="CE12" s="381"/>
      <c r="CF12" s="381"/>
      <c r="CG12" s="381"/>
      <c r="CH12" s="381"/>
      <c r="CI12" s="381"/>
      <c r="CJ12" s="381"/>
      <c r="CK12" s="381"/>
      <c r="CL12" s="381"/>
      <c r="CM12" s="381"/>
      <c r="CN12" s="381"/>
      <c r="CO12" s="381"/>
      <c r="CP12" s="381"/>
      <c r="CQ12" s="381"/>
      <c r="CR12" s="381"/>
      <c r="CS12" s="381"/>
      <c r="CT12" s="381"/>
      <c r="CU12" s="381"/>
      <c r="CV12" s="381"/>
      <c r="CW12" s="381"/>
      <c r="CX12" s="381"/>
      <c r="CY12" s="381"/>
      <c r="CZ12" s="381"/>
      <c r="DA12" s="381"/>
      <c r="DB12" s="381"/>
      <c r="DC12" s="381"/>
      <c r="DD12" s="381"/>
      <c r="DE12" s="381"/>
      <c r="DF12" s="381"/>
      <c r="DG12" s="381"/>
      <c r="DH12" s="381"/>
      <c r="DI12" s="381"/>
      <c r="DJ12" s="381"/>
      <c r="DK12" s="381"/>
      <c r="DL12" s="381"/>
      <c r="DM12" s="381"/>
      <c r="DN12" s="381"/>
      <c r="DO12" s="381"/>
      <c r="DP12" s="381"/>
      <c r="DQ12" s="381"/>
      <c r="DR12" s="381"/>
      <c r="DS12" s="381"/>
      <c r="DT12" s="381"/>
      <c r="DU12" s="381"/>
      <c r="DV12" s="381"/>
      <c r="DW12" s="381"/>
      <c r="DX12" s="381"/>
      <c r="DY12" s="381"/>
      <c r="DZ12" s="381"/>
      <c r="EA12" s="381"/>
      <c r="EB12" s="381"/>
      <c r="EC12" s="381"/>
      <c r="ED12" s="381"/>
      <c r="EE12" s="381"/>
      <c r="EF12" s="381"/>
      <c r="EG12" s="381"/>
      <c r="EH12" s="381"/>
      <c r="EI12" s="381"/>
      <c r="EJ12" s="381"/>
      <c r="EK12" s="381"/>
      <c r="EL12" s="381"/>
      <c r="EM12" s="381"/>
      <c r="EN12" s="381"/>
      <c r="EO12" s="381"/>
      <c r="EP12" s="381"/>
      <c r="EQ12" s="381"/>
      <c r="ER12" s="381"/>
      <c r="ES12" s="381"/>
      <c r="ET12" s="381"/>
      <c r="EU12" s="381"/>
      <c r="EV12" s="381"/>
      <c r="EW12" s="381"/>
      <c r="EX12" s="381"/>
      <c r="EY12" s="381"/>
      <c r="EZ12" s="381"/>
      <c r="FA12" s="381"/>
      <c r="FB12" s="381"/>
      <c r="FC12" s="381"/>
      <c r="FD12" s="381"/>
      <c r="FE12" s="381"/>
      <c r="FF12" s="381"/>
      <c r="FG12" s="381"/>
      <c r="FH12" s="381"/>
      <c r="FI12" s="381"/>
      <c r="FJ12" s="381"/>
      <c r="FK12" s="381"/>
      <c r="FL12" s="381"/>
      <c r="FM12" s="381"/>
      <c r="FN12" s="381"/>
      <c r="FO12" s="381"/>
      <c r="FP12" s="381"/>
      <c r="FQ12" s="381"/>
      <c r="FR12" s="381"/>
      <c r="FS12" s="381"/>
      <c r="FT12" s="381"/>
      <c r="FU12" s="381"/>
      <c r="FV12" s="381"/>
      <c r="FW12" s="381"/>
      <c r="FX12" s="381"/>
      <c r="FY12" s="381"/>
      <c r="FZ12" s="381"/>
      <c r="GA12" s="381"/>
      <c r="GB12" s="381"/>
      <c r="GC12" s="381"/>
      <c r="GD12" s="381"/>
      <c r="GE12" s="381"/>
      <c r="GF12" s="381"/>
      <c r="GG12" s="381"/>
      <c r="GH12" s="381"/>
      <c r="GI12" s="381"/>
      <c r="GJ12" s="381"/>
      <c r="GK12" s="381"/>
      <c r="GL12" s="381"/>
      <c r="GM12" s="381"/>
      <c r="GN12" s="381"/>
      <c r="GO12" s="381"/>
      <c r="GP12" s="381"/>
      <c r="GQ12" s="381"/>
      <c r="GR12" s="381"/>
      <c r="GS12" s="381"/>
      <c r="GT12" s="381"/>
      <c r="GU12" s="381"/>
      <c r="GV12" s="381"/>
      <c r="GW12" s="381"/>
      <c r="GX12" s="381"/>
      <c r="GY12" s="381"/>
      <c r="GZ12" s="381"/>
      <c r="HA12" s="381"/>
      <c r="HB12" s="381"/>
      <c r="HC12" s="381"/>
      <c r="HD12" s="381"/>
      <c r="HE12" s="381"/>
      <c r="HF12" s="381"/>
      <c r="HG12" s="381"/>
      <c r="HH12" s="381"/>
      <c r="HI12" s="381"/>
      <c r="HJ12" s="381"/>
      <c r="HK12" s="381"/>
      <c r="HL12" s="381"/>
      <c r="HM12" s="381"/>
      <c r="HN12" s="381"/>
      <c r="HO12" s="381"/>
      <c r="HP12" s="381"/>
      <c r="HQ12" s="381"/>
      <c r="HR12" s="381"/>
      <c r="HS12" s="381"/>
      <c r="HT12" s="381"/>
      <c r="HU12" s="381"/>
      <c r="HV12" s="381"/>
      <c r="HW12" s="381"/>
      <c r="HX12" s="381"/>
      <c r="HY12" s="381"/>
      <c r="HZ12" s="381"/>
      <c r="IA12" s="381"/>
      <c r="IB12" s="381"/>
      <c r="IC12" s="381"/>
      <c r="ID12" s="381"/>
      <c r="IE12" s="381"/>
      <c r="IF12" s="381"/>
      <c r="IG12" s="381"/>
      <c r="IH12" s="381"/>
      <c r="II12" s="381"/>
      <c r="IJ12" s="381"/>
      <c r="IK12" s="381"/>
      <c r="IL12" s="381"/>
      <c r="IM12" s="381"/>
      <c r="IN12" s="381"/>
      <c r="IO12" s="381"/>
      <c r="IP12" s="381"/>
      <c r="IQ12" s="381"/>
      <c r="IR12" s="381"/>
      <c r="IS12" s="381"/>
      <c r="IT12" s="381"/>
      <c r="IU12" s="381"/>
      <c r="IV12" s="381"/>
      <c r="IW12" s="381"/>
      <c r="IX12" s="381"/>
      <c r="IY12" s="381"/>
      <c r="IZ12" s="381"/>
      <c r="JA12" s="381"/>
      <c r="JB12" s="381"/>
      <c r="JC12" s="381"/>
      <c r="JD12" s="381"/>
      <c r="JE12" s="381"/>
      <c r="JF12" s="381"/>
      <c r="JG12" s="381"/>
      <c r="JH12" s="381"/>
      <c r="JI12" s="381"/>
      <c r="JJ12" s="381"/>
      <c r="JK12" s="381"/>
      <c r="JL12" s="381"/>
      <c r="JM12" s="381"/>
      <c r="JN12" s="381"/>
      <c r="JO12" s="381"/>
      <c r="JP12" s="381"/>
      <c r="JQ12" s="381"/>
      <c r="JR12" s="381"/>
      <c r="JS12" s="381"/>
      <c r="JT12" s="381"/>
      <c r="JU12" s="381"/>
      <c r="JV12" s="381"/>
      <c r="JW12" s="381"/>
      <c r="JX12" s="381"/>
      <c r="JY12" s="381"/>
      <c r="JZ12" s="381"/>
      <c r="KA12" s="381"/>
      <c r="KB12" s="381"/>
      <c r="KC12" s="381"/>
      <c r="KD12" s="381"/>
      <c r="KE12" s="381"/>
      <c r="KF12" s="381"/>
      <c r="KG12" s="381"/>
      <c r="KH12" s="381"/>
      <c r="KI12" s="381"/>
      <c r="KJ12" s="381"/>
      <c r="KK12" s="381"/>
      <c r="KL12" s="381"/>
      <c r="KM12" s="381"/>
      <c r="KN12" s="381"/>
      <c r="KO12" s="381"/>
      <c r="KP12" s="381"/>
      <c r="KQ12" s="381"/>
      <c r="KR12" s="381"/>
      <c r="KS12" s="381"/>
      <c r="KT12" s="381"/>
      <c r="KU12" s="381"/>
      <c r="KV12" s="381"/>
      <c r="KW12" s="381"/>
      <c r="KX12" s="381"/>
      <c r="KY12" s="381"/>
      <c r="KZ12" s="381"/>
      <c r="LA12" s="381"/>
      <c r="LB12" s="381"/>
      <c r="LC12" s="381"/>
      <c r="LD12" s="381"/>
      <c r="LE12" s="381"/>
      <c r="LF12" s="381"/>
      <c r="LG12" s="381"/>
      <c r="LH12" s="381"/>
      <c r="LI12" s="381"/>
      <c r="LJ12" s="381"/>
      <c r="LK12" s="381"/>
      <c r="LL12" s="381"/>
      <c r="LM12" s="381"/>
      <c r="LN12" s="381"/>
      <c r="LO12" s="381"/>
      <c r="LP12" s="381"/>
      <c r="LQ12" s="381"/>
      <c r="LR12" s="381"/>
      <c r="LS12" s="381"/>
      <c r="LT12" s="381"/>
      <c r="LU12" s="381"/>
      <c r="LV12" s="381"/>
      <c r="LW12" s="381"/>
      <c r="LX12" s="381"/>
      <c r="LY12" s="381"/>
      <c r="LZ12" s="381"/>
      <c r="MA12" s="381"/>
      <c r="MB12" s="381"/>
      <c r="MC12" s="381"/>
      <c r="MD12" s="381"/>
      <c r="ME12" s="381"/>
      <c r="MF12" s="381"/>
      <c r="MG12" s="381"/>
      <c r="MH12" s="381"/>
      <c r="MI12" s="381"/>
      <c r="MJ12" s="381"/>
      <c r="MK12" s="381"/>
      <c r="ML12" s="381"/>
      <c r="MM12" s="381"/>
      <c r="MN12" s="381"/>
      <c r="MO12" s="381"/>
      <c r="MP12" s="381"/>
      <c r="MQ12" s="381"/>
      <c r="MR12" s="381"/>
      <c r="MS12" s="381"/>
      <c r="MT12" s="381"/>
      <c r="MU12" s="381"/>
      <c r="MV12" s="381"/>
      <c r="MW12" s="381"/>
      <c r="MX12" s="381"/>
      <c r="MY12" s="381"/>
      <c r="MZ12" s="381"/>
      <c r="NA12" s="381"/>
      <c r="NB12" s="381"/>
      <c r="NC12" s="381"/>
      <c r="ND12" s="381"/>
      <c r="NE12" s="381"/>
      <c r="NF12" s="381"/>
      <c r="NG12" s="381"/>
      <c r="NH12" s="381"/>
      <c r="NI12" s="381"/>
      <c r="NJ12" s="381"/>
      <c r="NK12" s="381"/>
      <c r="NL12" s="381"/>
      <c r="NM12" s="381"/>
      <c r="NN12" s="381"/>
      <c r="NO12" s="381"/>
      <c r="NP12" s="381"/>
      <c r="NQ12" s="381"/>
      <c r="NR12" s="381"/>
      <c r="NS12" s="381"/>
      <c r="NT12" s="381"/>
      <c r="NU12" s="381"/>
      <c r="NV12" s="381"/>
      <c r="NW12" s="381"/>
      <c r="NX12" s="381"/>
      <c r="NY12" s="381"/>
      <c r="NZ12" s="381"/>
      <c r="OA12" s="381"/>
      <c r="OB12" s="381"/>
      <c r="OC12" s="381"/>
      <c r="OD12" s="381"/>
      <c r="OE12" s="381"/>
      <c r="OF12" s="381"/>
      <c r="OG12" s="381"/>
      <c r="OH12" s="381"/>
      <c r="OI12" s="381"/>
      <c r="OJ12" s="381"/>
      <c r="OK12" s="381"/>
      <c r="OL12" s="381"/>
      <c r="OM12" s="381"/>
      <c r="ON12" s="381"/>
      <c r="OO12" s="381"/>
      <c r="OP12" s="381"/>
      <c r="OQ12" s="381"/>
      <c r="OR12" s="381"/>
      <c r="OS12" s="381"/>
      <c r="OT12" s="381"/>
      <c r="OU12" s="381"/>
      <c r="OV12" s="381"/>
      <c r="OW12" s="381"/>
      <c r="OX12" s="381"/>
      <c r="OY12" s="381"/>
      <c r="OZ12" s="381"/>
      <c r="PA12" s="381"/>
      <c r="PB12" s="381"/>
      <c r="PC12" s="381"/>
      <c r="PD12" s="381"/>
      <c r="PE12" s="381"/>
      <c r="PF12" s="381"/>
      <c r="PG12" s="381"/>
      <c r="PH12" s="381"/>
      <c r="PI12" s="381"/>
      <c r="PJ12" s="381"/>
      <c r="PK12" s="381"/>
      <c r="PL12" s="381"/>
      <c r="PM12" s="381"/>
      <c r="PN12" s="381"/>
      <c r="PO12" s="381"/>
      <c r="PP12" s="381"/>
      <c r="PQ12" s="381"/>
      <c r="PR12" s="381"/>
      <c r="PS12" s="381"/>
      <c r="PT12" s="381"/>
      <c r="PU12" s="381"/>
      <c r="PV12" s="381"/>
      <c r="PW12" s="381"/>
      <c r="PX12" s="381"/>
      <c r="PY12" s="381"/>
      <c r="PZ12" s="381"/>
      <c r="QA12" s="381"/>
      <c r="QB12" s="381"/>
      <c r="QC12" s="381"/>
      <c r="QD12" s="381"/>
      <c r="QE12" s="381"/>
      <c r="QF12" s="381"/>
      <c r="QG12" s="381"/>
      <c r="QH12" s="381"/>
      <c r="QI12" s="381"/>
      <c r="QJ12" s="381"/>
      <c r="QK12" s="381"/>
      <c r="QL12" s="381"/>
      <c r="QM12" s="381"/>
      <c r="QN12" s="381"/>
      <c r="QO12" s="381"/>
      <c r="QP12" s="381"/>
      <c r="QQ12" s="381"/>
      <c r="QR12" s="381"/>
      <c r="QS12" s="381"/>
      <c r="QT12" s="381"/>
      <c r="QU12" s="381"/>
      <c r="QV12" s="381"/>
      <c r="QW12" s="381"/>
      <c r="QX12" s="381"/>
      <c r="QY12" s="381"/>
      <c r="QZ12" s="381"/>
      <c r="RA12" s="381"/>
      <c r="RB12" s="381"/>
      <c r="RC12" s="381"/>
      <c r="RD12" s="381"/>
      <c r="RE12" s="381"/>
      <c r="RF12" s="381"/>
      <c r="RG12" s="381"/>
      <c r="RH12" s="381"/>
      <c r="RI12" s="381"/>
      <c r="RJ12" s="381"/>
      <c r="RK12" s="381"/>
      <c r="RL12" s="381"/>
      <c r="RM12" s="381"/>
      <c r="RN12" s="381"/>
      <c r="RO12" s="381"/>
      <c r="RP12" s="381"/>
      <c r="RQ12" s="381"/>
      <c r="RR12" s="381"/>
      <c r="RS12" s="381"/>
      <c r="RT12" s="381"/>
      <c r="RU12" s="381"/>
      <c r="RV12" s="381"/>
      <c r="RW12" s="381"/>
      <c r="RX12" s="381"/>
      <c r="RY12" s="381"/>
      <c r="RZ12" s="381"/>
      <c r="SA12" s="381"/>
      <c r="SB12" s="381"/>
      <c r="SC12" s="381"/>
      <c r="SD12" s="381"/>
      <c r="SE12" s="381"/>
      <c r="SF12" s="381"/>
      <c r="SG12" s="381"/>
      <c r="SH12" s="381"/>
      <c r="SI12" s="381"/>
      <c r="SJ12" s="381"/>
      <c r="SK12" s="381"/>
      <c r="SL12" s="381"/>
      <c r="SM12" s="381"/>
      <c r="SN12" s="381"/>
      <c r="SO12" s="381"/>
      <c r="SP12" s="381"/>
      <c r="SQ12" s="381"/>
      <c r="SR12" s="381"/>
      <c r="SS12" s="381"/>
      <c r="ST12" s="381"/>
      <c r="SU12" s="381"/>
      <c r="SV12" s="381"/>
      <c r="SW12" s="381"/>
      <c r="SX12" s="381"/>
      <c r="SY12" s="381"/>
      <c r="SZ12" s="381"/>
      <c r="TA12" s="381"/>
      <c r="TB12" s="381"/>
      <c r="TC12" s="381"/>
      <c r="TD12" s="381"/>
      <c r="TE12" s="381"/>
      <c r="TF12" s="381"/>
      <c r="TG12" s="381"/>
      <c r="TH12" s="381"/>
      <c r="TI12" s="381"/>
      <c r="TJ12" s="381"/>
      <c r="TK12" s="381"/>
      <c r="TL12" s="381"/>
      <c r="TM12" s="381"/>
      <c r="TN12" s="381"/>
      <c r="TO12" s="381"/>
      <c r="TP12" s="381"/>
      <c r="TQ12" s="381"/>
      <c r="TR12" s="381"/>
      <c r="TS12" s="381"/>
      <c r="TT12" s="381"/>
      <c r="TU12" s="381"/>
      <c r="TV12" s="381"/>
      <c r="TW12" s="381"/>
      <c r="TX12" s="381"/>
      <c r="TY12" s="381"/>
      <c r="TZ12" s="381"/>
      <c r="UA12" s="381"/>
      <c r="UB12" s="381"/>
      <c r="UC12" s="381"/>
      <c r="UD12" s="381"/>
      <c r="UE12" s="381"/>
      <c r="UF12" s="381"/>
      <c r="UG12" s="381"/>
      <c r="UH12" s="381"/>
      <c r="UI12" s="381"/>
      <c r="UJ12" s="381"/>
      <c r="UK12" s="381"/>
      <c r="UL12" s="381"/>
      <c r="UM12" s="381"/>
      <c r="UN12" s="381"/>
      <c r="UO12" s="381"/>
      <c r="UP12" s="381"/>
      <c r="UQ12" s="381"/>
      <c r="UR12" s="381"/>
      <c r="US12" s="381"/>
      <c r="UT12" s="381"/>
      <c r="UU12" s="381"/>
      <c r="UV12" s="381"/>
      <c r="UW12" s="381"/>
      <c r="UX12" s="381"/>
      <c r="UY12" s="381"/>
      <c r="UZ12" s="381"/>
      <c r="VA12" s="381"/>
      <c r="VB12" s="381"/>
      <c r="VC12" s="381"/>
      <c r="VD12" s="381"/>
      <c r="VE12" s="381"/>
      <c r="VF12" s="381"/>
      <c r="VG12" s="381"/>
      <c r="VH12" s="381"/>
      <c r="VI12" s="381"/>
      <c r="VJ12" s="381"/>
      <c r="VK12" s="381"/>
      <c r="VL12" s="381"/>
      <c r="VM12" s="381"/>
      <c r="VN12" s="381"/>
      <c r="VO12" s="381"/>
      <c r="VP12" s="381"/>
      <c r="VQ12" s="381"/>
      <c r="VR12" s="381"/>
      <c r="VS12" s="381"/>
      <c r="VT12" s="381"/>
      <c r="VU12" s="381"/>
      <c r="VV12" s="381"/>
      <c r="VW12" s="381"/>
      <c r="VX12" s="381"/>
      <c r="VY12" s="381"/>
      <c r="VZ12" s="381"/>
      <c r="WA12" s="381"/>
      <c r="WB12" s="381"/>
      <c r="WC12" s="381"/>
      <c r="WD12" s="381"/>
      <c r="WE12" s="381"/>
      <c r="WF12" s="381"/>
      <c r="WG12" s="381"/>
      <c r="WH12" s="381"/>
      <c r="WI12" s="381"/>
      <c r="WJ12" s="381"/>
      <c r="WK12" s="381"/>
      <c r="WL12" s="381"/>
      <c r="WM12" s="381"/>
      <c r="WN12" s="381"/>
      <c r="WO12" s="381"/>
      <c r="WP12" s="381"/>
      <c r="WQ12" s="381"/>
      <c r="WR12" s="381"/>
      <c r="WS12" s="381"/>
      <c r="WT12" s="381"/>
      <c r="WU12" s="381"/>
      <c r="WV12" s="381"/>
      <c r="WW12" s="381"/>
      <c r="WX12" s="381"/>
      <c r="WY12" s="381"/>
      <c r="WZ12" s="381"/>
      <c r="XA12" s="381"/>
      <c r="XB12" s="381"/>
      <c r="XC12" s="381"/>
      <c r="XD12" s="381"/>
      <c r="XE12" s="381"/>
      <c r="XF12" s="381"/>
      <c r="XG12" s="381"/>
      <c r="XH12" s="381"/>
      <c r="XI12" s="381"/>
      <c r="XJ12" s="381"/>
      <c r="XK12" s="381"/>
      <c r="XL12" s="381"/>
      <c r="XM12" s="381"/>
      <c r="XN12" s="381"/>
      <c r="XO12" s="381"/>
      <c r="XP12" s="381"/>
      <c r="XQ12" s="381"/>
      <c r="XR12" s="381"/>
      <c r="XS12" s="381"/>
      <c r="XT12" s="381"/>
      <c r="XU12" s="381"/>
      <c r="XV12" s="381"/>
      <c r="XW12" s="381"/>
      <c r="XX12" s="381"/>
      <c r="XY12" s="381"/>
      <c r="XZ12" s="381"/>
      <c r="YA12" s="381"/>
      <c r="YB12" s="381"/>
      <c r="YC12" s="381"/>
      <c r="YD12" s="381"/>
      <c r="YE12" s="381"/>
      <c r="YF12" s="381"/>
      <c r="YG12" s="381"/>
      <c r="YH12" s="381"/>
      <c r="YI12" s="381"/>
      <c r="YJ12" s="381"/>
      <c r="YK12" s="381"/>
      <c r="YL12" s="381"/>
      <c r="YM12" s="381"/>
      <c r="YN12" s="381"/>
      <c r="YO12" s="381"/>
      <c r="YP12" s="381"/>
      <c r="YQ12" s="381"/>
      <c r="YR12" s="381"/>
      <c r="YS12" s="381"/>
      <c r="YT12" s="381"/>
      <c r="YU12" s="381"/>
      <c r="YV12" s="381"/>
      <c r="YW12" s="381"/>
      <c r="YX12" s="381"/>
      <c r="YY12" s="381"/>
      <c r="YZ12" s="381"/>
      <c r="ZA12" s="381"/>
      <c r="ZB12" s="381"/>
      <c r="ZC12" s="381"/>
      <c r="ZD12" s="381"/>
      <c r="ZE12" s="381"/>
      <c r="ZF12" s="381"/>
      <c r="ZG12" s="381"/>
      <c r="ZH12" s="381"/>
      <c r="ZI12" s="381"/>
      <c r="ZJ12" s="381"/>
      <c r="ZK12" s="381"/>
      <c r="ZL12" s="381"/>
      <c r="ZM12" s="381"/>
      <c r="ZN12" s="381"/>
      <c r="ZO12" s="381"/>
      <c r="ZP12" s="381"/>
      <c r="ZQ12" s="381"/>
      <c r="ZR12" s="381"/>
      <c r="ZS12" s="381"/>
      <c r="ZT12" s="381"/>
      <c r="ZU12" s="381"/>
      <c r="ZV12" s="381"/>
      <c r="ZW12" s="381"/>
      <c r="ZX12" s="381"/>
      <c r="ZY12" s="381"/>
      <c r="ZZ12" s="381"/>
      <c r="AAA12" s="381"/>
      <c r="AAB12" s="381"/>
      <c r="AAC12" s="381"/>
      <c r="AAD12" s="381"/>
      <c r="AAE12" s="381"/>
      <c r="AAF12" s="381"/>
      <c r="AAG12" s="381"/>
      <c r="AAH12" s="381"/>
      <c r="AAI12" s="381"/>
      <c r="AAJ12" s="381"/>
      <c r="AAK12" s="381"/>
      <c r="AAL12" s="381"/>
      <c r="AAM12" s="381"/>
      <c r="AAN12" s="381"/>
      <c r="AAO12" s="381"/>
      <c r="AAP12" s="381"/>
      <c r="AAQ12" s="381"/>
      <c r="AAR12" s="381"/>
      <c r="AAS12" s="381"/>
      <c r="AAT12" s="381"/>
      <c r="AAU12" s="381"/>
      <c r="AAV12" s="381"/>
      <c r="AAW12" s="381"/>
      <c r="AAX12" s="381"/>
      <c r="AAY12" s="381"/>
      <c r="AAZ12" s="381"/>
      <c r="ABA12" s="381"/>
      <c r="ABB12" s="381"/>
      <c r="ABC12" s="381"/>
      <c r="ABD12" s="381"/>
      <c r="ABE12" s="381"/>
      <c r="ABF12" s="381"/>
      <c r="ABG12" s="381"/>
      <c r="ABH12" s="381"/>
      <c r="ABI12" s="381"/>
      <c r="ABJ12" s="381"/>
      <c r="ABK12" s="381"/>
      <c r="ABL12" s="381"/>
      <c r="ABM12" s="381"/>
      <c r="ABN12" s="381"/>
      <c r="ABO12" s="381"/>
      <c r="ABP12" s="381"/>
      <c r="ABQ12" s="381"/>
      <c r="ABR12" s="381"/>
      <c r="ABS12" s="381"/>
      <c r="ABT12" s="381"/>
      <c r="ABU12" s="381"/>
      <c r="ABV12" s="381"/>
      <c r="ABW12" s="381"/>
      <c r="ABX12" s="381"/>
      <c r="ABY12" s="381"/>
      <c r="ABZ12" s="381"/>
      <c r="ACA12" s="381"/>
      <c r="ACB12" s="381"/>
      <c r="ACC12" s="381"/>
      <c r="ACD12" s="381"/>
      <c r="ACE12" s="381"/>
      <c r="ACF12" s="381"/>
      <c r="ACG12" s="381"/>
      <c r="ACH12" s="381"/>
      <c r="ACI12" s="381"/>
      <c r="ACJ12" s="381"/>
      <c r="ACK12" s="381"/>
      <c r="ACL12" s="381"/>
      <c r="ACM12" s="381"/>
      <c r="ACN12" s="381"/>
      <c r="ACO12" s="381"/>
      <c r="ACP12" s="381"/>
      <c r="ACQ12" s="381"/>
      <c r="ACR12" s="381"/>
      <c r="ACS12" s="381"/>
      <c r="ACT12" s="381"/>
      <c r="ACU12" s="381"/>
      <c r="ACV12" s="381"/>
      <c r="ACW12" s="381"/>
      <c r="ACX12" s="381"/>
      <c r="ACY12" s="381"/>
      <c r="ACZ12" s="381"/>
      <c r="ADA12" s="381"/>
      <c r="ADB12" s="381"/>
      <c r="ADC12" s="381"/>
      <c r="ADD12" s="381"/>
      <c r="ADE12" s="381"/>
      <c r="ADF12" s="381"/>
      <c r="ADG12" s="381"/>
      <c r="ADH12" s="381"/>
      <c r="ADI12" s="381"/>
      <c r="ADJ12" s="381"/>
      <c r="ADK12" s="381"/>
      <c r="ADL12" s="381"/>
      <c r="ADM12" s="381"/>
      <c r="ADN12" s="381"/>
      <c r="ADO12" s="381"/>
      <c r="ADP12" s="381"/>
      <c r="ADQ12" s="381"/>
      <c r="ADR12" s="381"/>
      <c r="ADS12" s="381"/>
      <c r="ADT12" s="381"/>
      <c r="ADU12" s="381"/>
      <c r="ADV12" s="381"/>
      <c r="ADW12" s="381"/>
      <c r="ADX12" s="381"/>
      <c r="ADY12" s="381"/>
      <c r="ADZ12" s="381"/>
      <c r="AEA12" s="381"/>
      <c r="AEB12" s="381"/>
      <c r="AEC12" s="381"/>
      <c r="AED12" s="381"/>
      <c r="AEE12" s="381"/>
      <c r="AEF12" s="381"/>
      <c r="AEG12" s="381"/>
      <c r="AEH12" s="381"/>
      <c r="AEI12" s="381"/>
      <c r="AEJ12" s="381"/>
      <c r="AEK12" s="381"/>
      <c r="AEL12" s="381"/>
      <c r="AEM12" s="381"/>
      <c r="AEN12" s="381"/>
      <c r="AEO12" s="381"/>
      <c r="AEP12" s="381"/>
      <c r="AEQ12" s="381"/>
      <c r="AER12" s="381"/>
      <c r="AES12" s="381"/>
      <c r="AET12" s="381"/>
      <c r="AEU12" s="381"/>
      <c r="AEV12" s="381"/>
      <c r="AEW12" s="381"/>
      <c r="AEX12" s="381"/>
      <c r="AEY12" s="381"/>
      <c r="AEZ12" s="381"/>
      <c r="AFA12" s="381"/>
      <c r="AFB12" s="381"/>
      <c r="AFC12" s="381"/>
      <c r="AFD12" s="381"/>
      <c r="AFE12" s="381"/>
      <c r="AFF12" s="381"/>
      <c r="AFG12" s="381"/>
      <c r="AFH12" s="381"/>
      <c r="AFI12" s="381"/>
      <c r="AFJ12" s="381"/>
      <c r="AFK12" s="381"/>
      <c r="AFL12" s="381"/>
      <c r="AFM12" s="381"/>
      <c r="AFN12" s="381"/>
      <c r="AFO12" s="381"/>
      <c r="AFP12" s="381"/>
      <c r="AFQ12" s="381"/>
      <c r="AFR12" s="381"/>
      <c r="AFS12" s="381"/>
      <c r="AFT12" s="381"/>
      <c r="AFU12" s="381"/>
      <c r="AFV12" s="381"/>
      <c r="AFW12" s="381"/>
      <c r="AFX12" s="381"/>
      <c r="AFY12" s="381"/>
      <c r="AFZ12" s="381"/>
      <c r="AGA12" s="381"/>
      <c r="AGB12" s="381"/>
      <c r="AGC12" s="381"/>
      <c r="AGD12" s="381"/>
      <c r="AGE12" s="381"/>
      <c r="AGF12" s="381"/>
      <c r="AGG12" s="381"/>
      <c r="AGH12" s="381"/>
      <c r="AGI12" s="381"/>
      <c r="AGJ12" s="381"/>
      <c r="AGK12" s="381"/>
      <c r="AGL12" s="381"/>
      <c r="AGM12" s="381"/>
      <c r="AGN12" s="381"/>
      <c r="AGO12" s="381"/>
      <c r="AGP12" s="381"/>
      <c r="AGQ12" s="381"/>
      <c r="AGR12" s="381"/>
      <c r="AGS12" s="381"/>
      <c r="AGT12" s="381"/>
      <c r="AGU12" s="381"/>
      <c r="AGV12" s="381"/>
      <c r="AGW12" s="381"/>
      <c r="AGX12" s="381"/>
      <c r="AGY12" s="381"/>
      <c r="AGZ12" s="381"/>
      <c r="AHA12" s="381"/>
      <c r="AHB12" s="381"/>
      <c r="AHC12" s="381"/>
      <c r="AHD12" s="381"/>
      <c r="AHE12" s="381"/>
      <c r="AHF12" s="381"/>
      <c r="AHG12" s="381"/>
      <c r="AHH12" s="381"/>
      <c r="AHI12" s="381"/>
      <c r="AHJ12" s="381"/>
      <c r="AHK12" s="381"/>
      <c r="AHL12" s="381"/>
      <c r="AHM12" s="381"/>
      <c r="AHN12" s="381"/>
      <c r="AHO12" s="381"/>
      <c r="AHP12" s="381"/>
      <c r="AHQ12" s="381"/>
      <c r="AHR12" s="381"/>
      <c r="AHS12" s="381"/>
      <c r="AHT12" s="381"/>
      <c r="AHU12" s="381"/>
      <c r="AHV12" s="381"/>
      <c r="AHW12" s="381"/>
      <c r="AHX12" s="381"/>
      <c r="AHY12" s="381"/>
      <c r="AHZ12" s="381"/>
      <c r="AIA12" s="381"/>
      <c r="AIB12" s="381"/>
      <c r="AIC12" s="381"/>
      <c r="AID12" s="381"/>
      <c r="AIE12" s="381"/>
      <c r="AIF12" s="381"/>
      <c r="AIG12" s="381"/>
      <c r="AIH12" s="381"/>
      <c r="AII12" s="381"/>
      <c r="AIJ12" s="381"/>
      <c r="AIK12" s="381"/>
      <c r="AIL12" s="381"/>
      <c r="AIM12" s="381"/>
      <c r="AIN12" s="381"/>
      <c r="AIO12" s="381"/>
      <c r="AIP12" s="381"/>
      <c r="AIQ12" s="381"/>
      <c r="AIR12" s="381"/>
      <c r="AIS12" s="381"/>
      <c r="AIT12" s="381"/>
      <c r="AIU12" s="381"/>
      <c r="AIV12" s="381"/>
      <c r="AIW12" s="381"/>
      <c r="AIX12" s="381"/>
      <c r="AIY12" s="381"/>
      <c r="AIZ12" s="381"/>
      <c r="AJA12" s="381"/>
      <c r="AJB12" s="381"/>
      <c r="AJC12" s="381"/>
      <c r="AJD12" s="381"/>
      <c r="AJE12" s="381"/>
      <c r="AJF12" s="381"/>
      <c r="AJG12" s="381"/>
      <c r="AJH12" s="381"/>
      <c r="AJI12" s="381"/>
      <c r="AJJ12" s="381"/>
      <c r="AJK12" s="381"/>
      <c r="AJL12" s="381"/>
      <c r="AJM12" s="381"/>
      <c r="AJN12" s="381"/>
      <c r="AJO12" s="381"/>
      <c r="AJP12" s="381"/>
      <c r="AJQ12" s="381"/>
      <c r="AJR12" s="381"/>
      <c r="AJS12" s="381"/>
      <c r="AJT12" s="381"/>
      <c r="AJU12" s="381"/>
      <c r="AJV12" s="381"/>
      <c r="AJW12" s="381"/>
      <c r="AJX12" s="381"/>
      <c r="AJY12" s="381"/>
      <c r="AJZ12" s="381"/>
      <c r="AKA12" s="381"/>
      <c r="AKB12" s="381"/>
      <c r="AKC12" s="381"/>
      <c r="AKD12" s="381"/>
      <c r="AKE12" s="381"/>
      <c r="AKF12" s="381"/>
      <c r="AKG12" s="381"/>
      <c r="AKH12" s="381"/>
      <c r="AKI12" s="381"/>
      <c r="AKJ12" s="381"/>
      <c r="AKK12" s="381"/>
      <c r="AKL12" s="381"/>
      <c r="AKM12" s="381"/>
      <c r="AKN12" s="381"/>
      <c r="AKO12" s="381"/>
      <c r="AKP12" s="381"/>
      <c r="AKQ12" s="381"/>
      <c r="AKR12" s="381"/>
      <c r="AKS12" s="381"/>
      <c r="AKT12" s="381"/>
      <c r="AKU12" s="381"/>
      <c r="AKV12" s="381"/>
      <c r="AKW12" s="381"/>
      <c r="AKX12" s="381"/>
      <c r="AKY12" s="381"/>
      <c r="AKZ12" s="381"/>
      <c r="ALA12" s="381"/>
      <c r="ALB12" s="381"/>
      <c r="ALC12" s="381"/>
    </row>
    <row r="13" spans="1:991" s="359" customFormat="1" ht="145.5" customHeight="1" thickBot="1" x14ac:dyDescent="0.25">
      <c r="B13" s="360"/>
      <c r="C13" s="361" t="e">
        <f>J13-#REF!</f>
        <v>#REF!</v>
      </c>
      <c r="D13" s="362" t="s">
        <v>438</v>
      </c>
      <c r="E13" s="363" t="s">
        <v>439</v>
      </c>
      <c r="F13" s="364">
        <v>607</v>
      </c>
      <c r="G13" s="365"/>
      <c r="H13" s="366" t="s">
        <v>112</v>
      </c>
      <c r="I13" s="367" t="s">
        <v>440</v>
      </c>
      <c r="J13" s="368">
        <f>2073800-361597.96</f>
        <v>1712202.04</v>
      </c>
      <c r="K13" s="369">
        <v>1712202.04</v>
      </c>
      <c r="L13" s="370">
        <v>0</v>
      </c>
      <c r="M13" s="371">
        <v>0</v>
      </c>
      <c r="N13" s="371">
        <v>0</v>
      </c>
      <c r="O13" s="372">
        <v>0</v>
      </c>
      <c r="P13" s="370"/>
      <c r="Q13" s="371"/>
      <c r="R13" s="371"/>
      <c r="S13" s="373"/>
      <c r="T13" s="374"/>
      <c r="U13" s="370"/>
      <c r="V13" s="371"/>
      <c r="W13" s="371"/>
      <c r="X13" s="371"/>
      <c r="Y13" s="371"/>
      <c r="Z13" s="371"/>
      <c r="AA13" s="371"/>
      <c r="AB13" s="373"/>
      <c r="AC13" s="373"/>
      <c r="AD13" s="373"/>
      <c r="AE13" s="373"/>
      <c r="AF13" s="371"/>
      <c r="AG13" s="373"/>
      <c r="AH13" s="375"/>
      <c r="AI13" s="374"/>
      <c r="AJ13" s="370"/>
      <c r="AK13" s="371"/>
      <c r="AL13" s="376"/>
      <c r="AM13" s="376">
        <v>0</v>
      </c>
      <c r="AN13" s="376"/>
      <c r="AO13" s="376">
        <v>0</v>
      </c>
      <c r="AP13" s="377">
        <f>733142-733142</f>
        <v>0</v>
      </c>
      <c r="AQ13" s="371">
        <f>2073800-361597.96</f>
        <v>1712202.04</v>
      </c>
      <c r="AR13" s="371"/>
      <c r="AS13" s="371">
        <v>1712202.04</v>
      </c>
      <c r="AT13" s="373"/>
      <c r="AU13" s="373"/>
      <c r="AV13" s="371"/>
      <c r="AW13" s="373"/>
      <c r="AX13" s="374"/>
      <c r="AY13" s="370"/>
      <c r="AZ13" s="378"/>
      <c r="BA13" s="379"/>
      <c r="BB13" s="380" t="s">
        <v>441</v>
      </c>
    </row>
    <row r="14" spans="1:991" s="400" customFormat="1" ht="146.25" customHeight="1" thickBot="1" x14ac:dyDescent="0.3">
      <c r="A14" s="359"/>
      <c r="B14" s="360"/>
      <c r="C14" s="361" t="e">
        <f>J14-#REF!</f>
        <v>#REF!</v>
      </c>
      <c r="D14" s="362" t="s">
        <v>442</v>
      </c>
      <c r="E14" s="382"/>
      <c r="F14" s="383"/>
      <c r="G14" s="384"/>
      <c r="H14" s="385" t="s">
        <v>112</v>
      </c>
      <c r="I14" s="386" t="s">
        <v>443</v>
      </c>
      <c r="J14" s="387">
        <v>1500000</v>
      </c>
      <c r="K14" s="388">
        <v>0</v>
      </c>
      <c r="L14" s="390">
        <v>150000</v>
      </c>
      <c r="M14" s="390">
        <v>1000000</v>
      </c>
      <c r="N14" s="390">
        <v>350000</v>
      </c>
      <c r="O14" s="391">
        <v>0</v>
      </c>
      <c r="P14" s="389"/>
      <c r="Q14" s="390"/>
      <c r="R14" s="390"/>
      <c r="S14" s="392"/>
      <c r="T14" s="393"/>
      <c r="U14" s="389"/>
      <c r="V14" s="390"/>
      <c r="W14" s="390"/>
      <c r="X14" s="390"/>
      <c r="Y14" s="390"/>
      <c r="Z14" s="390"/>
      <c r="AA14" s="390"/>
      <c r="AB14" s="392"/>
      <c r="AC14" s="392"/>
      <c r="AD14" s="392"/>
      <c r="AE14" s="392"/>
      <c r="AF14" s="390"/>
      <c r="AG14" s="392"/>
      <c r="AH14" s="394"/>
      <c r="AI14" s="393"/>
      <c r="AJ14" s="389"/>
      <c r="AK14" s="390"/>
      <c r="AL14" s="395"/>
      <c r="AM14" s="376">
        <v>0</v>
      </c>
      <c r="AN14" s="395">
        <v>150000</v>
      </c>
      <c r="AO14" s="376">
        <v>1350000</v>
      </c>
      <c r="AP14" s="396"/>
      <c r="AQ14" s="390">
        <v>150000</v>
      </c>
      <c r="AR14" s="390">
        <v>1350000</v>
      </c>
      <c r="AS14" s="390">
        <v>0</v>
      </c>
      <c r="AT14" s="392"/>
      <c r="AU14" s="392"/>
      <c r="AV14" s="390"/>
      <c r="AW14" s="392"/>
      <c r="AX14" s="393"/>
      <c r="AY14" s="389"/>
      <c r="AZ14" s="397"/>
      <c r="BA14" s="398"/>
      <c r="BB14" s="399" t="s">
        <v>444</v>
      </c>
      <c r="BC14" s="381"/>
      <c r="BD14" s="381"/>
      <c r="BE14" s="381"/>
      <c r="BF14" s="381"/>
      <c r="BG14" s="381"/>
      <c r="BH14" s="381"/>
      <c r="BI14" s="381"/>
      <c r="BJ14" s="381"/>
      <c r="BK14" s="381"/>
      <c r="BL14" s="381"/>
      <c r="BM14" s="381"/>
      <c r="BN14" s="381"/>
      <c r="BO14" s="381"/>
      <c r="BP14" s="381"/>
      <c r="BQ14" s="381"/>
      <c r="BR14" s="381"/>
      <c r="BS14" s="381"/>
      <c r="BT14" s="381"/>
      <c r="BU14" s="381"/>
      <c r="BV14" s="381"/>
      <c r="BW14" s="381"/>
      <c r="BX14" s="381"/>
      <c r="BY14" s="381"/>
      <c r="BZ14" s="381"/>
      <c r="CA14" s="381"/>
      <c r="CB14" s="381"/>
      <c r="CC14" s="381"/>
      <c r="CD14" s="381"/>
      <c r="CE14" s="381"/>
      <c r="CF14" s="381"/>
      <c r="CG14" s="381"/>
      <c r="CH14" s="381"/>
      <c r="CI14" s="381"/>
      <c r="CJ14" s="381"/>
      <c r="CK14" s="381"/>
      <c r="CL14" s="381"/>
      <c r="CM14" s="381"/>
      <c r="CN14" s="381"/>
      <c r="CO14" s="381"/>
      <c r="CP14" s="381"/>
      <c r="CQ14" s="381"/>
      <c r="CR14" s="381"/>
      <c r="CS14" s="381"/>
      <c r="CT14" s="381"/>
      <c r="CU14" s="381"/>
      <c r="CV14" s="381"/>
      <c r="CW14" s="381"/>
      <c r="CX14" s="381"/>
      <c r="CY14" s="381"/>
      <c r="CZ14" s="381"/>
      <c r="DA14" s="381"/>
      <c r="DB14" s="381"/>
      <c r="DC14" s="381"/>
      <c r="DD14" s="381"/>
      <c r="DE14" s="381"/>
      <c r="DF14" s="381"/>
      <c r="DG14" s="381"/>
      <c r="DH14" s="381"/>
      <c r="DI14" s="381"/>
      <c r="DJ14" s="381"/>
      <c r="DK14" s="381"/>
      <c r="DL14" s="381"/>
      <c r="DM14" s="381"/>
      <c r="DN14" s="381"/>
      <c r="DO14" s="381"/>
      <c r="DP14" s="381"/>
      <c r="DQ14" s="381"/>
      <c r="DR14" s="381"/>
      <c r="DS14" s="381"/>
      <c r="DT14" s="381"/>
      <c r="DU14" s="381"/>
      <c r="DV14" s="381"/>
      <c r="DW14" s="381"/>
      <c r="DX14" s="381"/>
      <c r="DY14" s="381"/>
      <c r="DZ14" s="381"/>
      <c r="EA14" s="381"/>
      <c r="EB14" s="381"/>
      <c r="EC14" s="381"/>
      <c r="ED14" s="381"/>
      <c r="EE14" s="381"/>
      <c r="EF14" s="381"/>
      <c r="EG14" s="381"/>
      <c r="EH14" s="381"/>
      <c r="EI14" s="381"/>
      <c r="EJ14" s="381"/>
      <c r="EK14" s="381"/>
      <c r="EL14" s="381"/>
      <c r="EM14" s="381"/>
      <c r="EN14" s="381"/>
      <c r="EO14" s="381"/>
      <c r="EP14" s="381"/>
      <c r="EQ14" s="381"/>
      <c r="ER14" s="381"/>
      <c r="ES14" s="381"/>
      <c r="ET14" s="381"/>
      <c r="EU14" s="381"/>
      <c r="EV14" s="381"/>
      <c r="EW14" s="381"/>
      <c r="EX14" s="381"/>
      <c r="EY14" s="381"/>
      <c r="EZ14" s="381"/>
      <c r="FA14" s="381"/>
      <c r="FB14" s="381"/>
      <c r="FC14" s="381"/>
      <c r="FD14" s="381"/>
      <c r="FE14" s="381"/>
      <c r="FF14" s="381"/>
      <c r="FG14" s="381"/>
      <c r="FH14" s="381"/>
      <c r="FI14" s="381"/>
      <c r="FJ14" s="381"/>
      <c r="FK14" s="381"/>
      <c r="FL14" s="381"/>
      <c r="FM14" s="381"/>
      <c r="FN14" s="381"/>
      <c r="FO14" s="381"/>
      <c r="FP14" s="381"/>
      <c r="FQ14" s="381"/>
      <c r="FR14" s="381"/>
      <c r="FS14" s="381"/>
      <c r="FT14" s="381"/>
      <c r="FU14" s="381"/>
      <c r="FV14" s="381"/>
      <c r="FW14" s="381"/>
      <c r="FX14" s="381"/>
      <c r="FY14" s="381"/>
      <c r="FZ14" s="381"/>
      <c r="GA14" s="381"/>
      <c r="GB14" s="381"/>
      <c r="GC14" s="381"/>
      <c r="GD14" s="381"/>
      <c r="GE14" s="381"/>
      <c r="GF14" s="381"/>
      <c r="GG14" s="381"/>
      <c r="GH14" s="381"/>
      <c r="GI14" s="381"/>
      <c r="GJ14" s="381"/>
      <c r="GK14" s="381"/>
      <c r="GL14" s="381"/>
      <c r="GM14" s="381"/>
      <c r="GN14" s="381"/>
      <c r="GO14" s="381"/>
      <c r="GP14" s="381"/>
      <c r="GQ14" s="381"/>
      <c r="GR14" s="381"/>
      <c r="GS14" s="381"/>
      <c r="GT14" s="381"/>
      <c r="GU14" s="381"/>
      <c r="GV14" s="381"/>
      <c r="GW14" s="381"/>
      <c r="GX14" s="381"/>
      <c r="GY14" s="381"/>
      <c r="GZ14" s="381"/>
      <c r="HA14" s="381"/>
      <c r="HB14" s="381"/>
      <c r="HC14" s="381"/>
      <c r="HD14" s="381"/>
      <c r="HE14" s="381"/>
      <c r="HF14" s="381"/>
      <c r="HG14" s="381"/>
      <c r="HH14" s="381"/>
      <c r="HI14" s="381"/>
      <c r="HJ14" s="381"/>
      <c r="HK14" s="381"/>
      <c r="HL14" s="381"/>
      <c r="HM14" s="381"/>
      <c r="HN14" s="381"/>
      <c r="HO14" s="381"/>
      <c r="HP14" s="381"/>
      <c r="HQ14" s="381"/>
      <c r="HR14" s="381"/>
      <c r="HS14" s="381"/>
      <c r="HT14" s="381"/>
      <c r="HU14" s="381"/>
      <c r="HV14" s="381"/>
      <c r="HW14" s="381"/>
      <c r="HX14" s="381"/>
      <c r="HY14" s="381"/>
      <c r="HZ14" s="381"/>
      <c r="IA14" s="381"/>
      <c r="IB14" s="381"/>
      <c r="IC14" s="381"/>
      <c r="ID14" s="381"/>
      <c r="IE14" s="381"/>
      <c r="IF14" s="381"/>
      <c r="IG14" s="381"/>
      <c r="IH14" s="381"/>
      <c r="II14" s="381"/>
      <c r="IJ14" s="381"/>
      <c r="IK14" s="381"/>
      <c r="IL14" s="381"/>
      <c r="IM14" s="381"/>
      <c r="IN14" s="381"/>
      <c r="IO14" s="381"/>
      <c r="IP14" s="381"/>
      <c r="IQ14" s="381"/>
      <c r="IR14" s="381"/>
      <c r="IS14" s="381"/>
      <c r="IT14" s="381"/>
      <c r="IU14" s="381"/>
      <c r="IV14" s="381"/>
      <c r="IW14" s="381"/>
      <c r="IX14" s="381"/>
      <c r="IY14" s="381"/>
      <c r="IZ14" s="381"/>
      <c r="JA14" s="381"/>
      <c r="JB14" s="381"/>
      <c r="JC14" s="381"/>
      <c r="JD14" s="381"/>
      <c r="JE14" s="381"/>
      <c r="JF14" s="381"/>
      <c r="JG14" s="381"/>
      <c r="JH14" s="381"/>
      <c r="JI14" s="381"/>
      <c r="JJ14" s="381"/>
      <c r="JK14" s="381"/>
      <c r="JL14" s="381"/>
      <c r="JM14" s="381"/>
      <c r="JN14" s="381"/>
      <c r="JO14" s="381"/>
      <c r="JP14" s="381"/>
      <c r="JQ14" s="381"/>
      <c r="JR14" s="381"/>
      <c r="JS14" s="381"/>
      <c r="JT14" s="381"/>
      <c r="JU14" s="381"/>
      <c r="JV14" s="381"/>
      <c r="JW14" s="381"/>
      <c r="JX14" s="381"/>
      <c r="JY14" s="381"/>
      <c r="JZ14" s="381"/>
      <c r="KA14" s="381"/>
      <c r="KB14" s="381"/>
      <c r="KC14" s="381"/>
      <c r="KD14" s="381"/>
      <c r="KE14" s="381"/>
      <c r="KF14" s="381"/>
      <c r="KG14" s="381"/>
      <c r="KH14" s="381"/>
      <c r="KI14" s="381"/>
      <c r="KJ14" s="381"/>
      <c r="KK14" s="381"/>
      <c r="KL14" s="381"/>
      <c r="KM14" s="381"/>
      <c r="KN14" s="381"/>
      <c r="KO14" s="381"/>
      <c r="KP14" s="381"/>
      <c r="KQ14" s="381"/>
      <c r="KR14" s="381"/>
      <c r="KS14" s="381"/>
      <c r="KT14" s="381"/>
      <c r="KU14" s="381"/>
      <c r="KV14" s="381"/>
      <c r="KW14" s="381"/>
      <c r="KX14" s="381"/>
      <c r="KY14" s="381"/>
      <c r="KZ14" s="381"/>
      <c r="LA14" s="381"/>
      <c r="LB14" s="381"/>
      <c r="LC14" s="381"/>
      <c r="LD14" s="381"/>
      <c r="LE14" s="381"/>
      <c r="LF14" s="381"/>
      <c r="LG14" s="381"/>
      <c r="LH14" s="381"/>
      <c r="LI14" s="381"/>
      <c r="LJ14" s="381"/>
      <c r="LK14" s="381"/>
      <c r="LL14" s="381"/>
      <c r="LM14" s="381"/>
      <c r="LN14" s="381"/>
      <c r="LO14" s="381"/>
      <c r="LP14" s="381"/>
      <c r="LQ14" s="381"/>
      <c r="LR14" s="381"/>
      <c r="LS14" s="381"/>
      <c r="LT14" s="381"/>
      <c r="LU14" s="381"/>
      <c r="LV14" s="381"/>
      <c r="LW14" s="381"/>
      <c r="LX14" s="381"/>
      <c r="LY14" s="381"/>
      <c r="LZ14" s="381"/>
      <c r="MA14" s="381"/>
      <c r="MB14" s="381"/>
      <c r="MC14" s="381"/>
      <c r="MD14" s="381"/>
      <c r="ME14" s="381"/>
      <c r="MF14" s="381"/>
      <c r="MG14" s="381"/>
      <c r="MH14" s="381"/>
      <c r="MI14" s="381"/>
      <c r="MJ14" s="381"/>
      <c r="MK14" s="381"/>
      <c r="ML14" s="381"/>
      <c r="MM14" s="381"/>
      <c r="MN14" s="381"/>
      <c r="MO14" s="381"/>
      <c r="MP14" s="381"/>
      <c r="MQ14" s="381"/>
      <c r="MR14" s="381"/>
      <c r="MS14" s="381"/>
      <c r="MT14" s="381"/>
      <c r="MU14" s="381"/>
      <c r="MV14" s="381"/>
      <c r="MW14" s="381"/>
      <c r="MX14" s="381"/>
      <c r="MY14" s="381"/>
      <c r="MZ14" s="381"/>
      <c r="NA14" s="381"/>
      <c r="NB14" s="381"/>
      <c r="NC14" s="381"/>
      <c r="ND14" s="381"/>
      <c r="NE14" s="381"/>
      <c r="NF14" s="381"/>
      <c r="NG14" s="381"/>
      <c r="NH14" s="381"/>
      <c r="NI14" s="381"/>
      <c r="NJ14" s="381"/>
      <c r="NK14" s="381"/>
      <c r="NL14" s="381"/>
      <c r="NM14" s="381"/>
      <c r="NN14" s="381"/>
      <c r="NO14" s="381"/>
      <c r="NP14" s="381"/>
      <c r="NQ14" s="381"/>
      <c r="NR14" s="381"/>
      <c r="NS14" s="381"/>
      <c r="NT14" s="381"/>
      <c r="NU14" s="381"/>
      <c r="NV14" s="381"/>
      <c r="NW14" s="381"/>
      <c r="NX14" s="381"/>
      <c r="NY14" s="381"/>
      <c r="NZ14" s="381"/>
      <c r="OA14" s="381"/>
      <c r="OB14" s="381"/>
      <c r="OC14" s="381"/>
      <c r="OD14" s="381"/>
      <c r="OE14" s="381"/>
      <c r="OF14" s="381"/>
      <c r="OG14" s="381"/>
      <c r="OH14" s="381"/>
      <c r="OI14" s="381"/>
      <c r="OJ14" s="381"/>
      <c r="OK14" s="381"/>
      <c r="OL14" s="381"/>
      <c r="OM14" s="381"/>
      <c r="ON14" s="381"/>
      <c r="OO14" s="381"/>
      <c r="OP14" s="381"/>
      <c r="OQ14" s="381"/>
      <c r="OR14" s="381"/>
      <c r="OS14" s="381"/>
      <c r="OT14" s="381"/>
      <c r="OU14" s="381"/>
      <c r="OV14" s="381"/>
      <c r="OW14" s="381"/>
      <c r="OX14" s="381"/>
      <c r="OY14" s="381"/>
      <c r="OZ14" s="381"/>
      <c r="PA14" s="381"/>
      <c r="PB14" s="381"/>
      <c r="PC14" s="381"/>
      <c r="PD14" s="381"/>
      <c r="PE14" s="381"/>
      <c r="PF14" s="381"/>
      <c r="PG14" s="381"/>
      <c r="PH14" s="381"/>
      <c r="PI14" s="381"/>
      <c r="PJ14" s="381"/>
      <c r="PK14" s="381"/>
      <c r="PL14" s="381"/>
      <c r="PM14" s="381"/>
      <c r="PN14" s="381"/>
      <c r="PO14" s="381"/>
      <c r="PP14" s="381"/>
      <c r="PQ14" s="381"/>
      <c r="PR14" s="381"/>
      <c r="PS14" s="381"/>
      <c r="PT14" s="381"/>
      <c r="PU14" s="381"/>
      <c r="PV14" s="381"/>
      <c r="PW14" s="381"/>
      <c r="PX14" s="381"/>
      <c r="PY14" s="381"/>
      <c r="PZ14" s="381"/>
      <c r="QA14" s="381"/>
      <c r="QB14" s="381"/>
      <c r="QC14" s="381"/>
      <c r="QD14" s="381"/>
      <c r="QE14" s="381"/>
      <c r="QF14" s="381"/>
      <c r="QG14" s="381"/>
      <c r="QH14" s="381"/>
      <c r="QI14" s="381"/>
      <c r="QJ14" s="381"/>
      <c r="QK14" s="381"/>
      <c r="QL14" s="381"/>
      <c r="QM14" s="381"/>
      <c r="QN14" s="381"/>
      <c r="QO14" s="381"/>
      <c r="QP14" s="381"/>
      <c r="QQ14" s="381"/>
      <c r="QR14" s="381"/>
      <c r="QS14" s="381"/>
      <c r="QT14" s="381"/>
      <c r="QU14" s="381"/>
      <c r="QV14" s="381"/>
      <c r="QW14" s="381"/>
      <c r="QX14" s="381"/>
      <c r="QY14" s="381"/>
      <c r="QZ14" s="381"/>
      <c r="RA14" s="381"/>
      <c r="RB14" s="381"/>
      <c r="RC14" s="381"/>
      <c r="RD14" s="381"/>
      <c r="RE14" s="381"/>
      <c r="RF14" s="381"/>
      <c r="RG14" s="381"/>
      <c r="RH14" s="381"/>
      <c r="RI14" s="381"/>
      <c r="RJ14" s="381"/>
      <c r="RK14" s="381"/>
      <c r="RL14" s="381"/>
      <c r="RM14" s="381"/>
      <c r="RN14" s="381"/>
      <c r="RO14" s="381"/>
      <c r="RP14" s="381"/>
      <c r="RQ14" s="381"/>
      <c r="RR14" s="381"/>
      <c r="RS14" s="381"/>
      <c r="RT14" s="381"/>
      <c r="RU14" s="381"/>
      <c r="RV14" s="381"/>
      <c r="RW14" s="381"/>
      <c r="RX14" s="381"/>
      <c r="RY14" s="381"/>
      <c r="RZ14" s="381"/>
      <c r="SA14" s="381"/>
      <c r="SB14" s="381"/>
      <c r="SC14" s="381"/>
      <c r="SD14" s="381"/>
      <c r="SE14" s="381"/>
      <c r="SF14" s="381"/>
      <c r="SG14" s="381"/>
      <c r="SH14" s="381"/>
      <c r="SI14" s="381"/>
      <c r="SJ14" s="381"/>
      <c r="SK14" s="381"/>
      <c r="SL14" s="381"/>
      <c r="SM14" s="381"/>
      <c r="SN14" s="381"/>
      <c r="SO14" s="381"/>
      <c r="SP14" s="381"/>
      <c r="SQ14" s="381"/>
      <c r="SR14" s="381"/>
      <c r="SS14" s="381"/>
      <c r="ST14" s="381"/>
      <c r="SU14" s="381"/>
      <c r="SV14" s="381"/>
      <c r="SW14" s="381"/>
      <c r="SX14" s="381"/>
      <c r="SY14" s="381"/>
      <c r="SZ14" s="381"/>
      <c r="TA14" s="381"/>
      <c r="TB14" s="381"/>
      <c r="TC14" s="381"/>
      <c r="TD14" s="381"/>
      <c r="TE14" s="381"/>
      <c r="TF14" s="381"/>
      <c r="TG14" s="381"/>
      <c r="TH14" s="381"/>
      <c r="TI14" s="381"/>
      <c r="TJ14" s="381"/>
      <c r="TK14" s="381"/>
      <c r="TL14" s="381"/>
      <c r="TM14" s="381"/>
      <c r="TN14" s="381"/>
      <c r="TO14" s="381"/>
      <c r="TP14" s="381"/>
      <c r="TQ14" s="381"/>
      <c r="TR14" s="381"/>
      <c r="TS14" s="381"/>
      <c r="TT14" s="381"/>
      <c r="TU14" s="381"/>
      <c r="TV14" s="381"/>
      <c r="TW14" s="381"/>
      <c r="TX14" s="381"/>
      <c r="TY14" s="381"/>
      <c r="TZ14" s="381"/>
      <c r="UA14" s="381"/>
      <c r="UB14" s="381"/>
      <c r="UC14" s="381"/>
      <c r="UD14" s="381"/>
      <c r="UE14" s="381"/>
      <c r="UF14" s="381"/>
      <c r="UG14" s="381"/>
      <c r="UH14" s="381"/>
      <c r="UI14" s="381"/>
      <c r="UJ14" s="381"/>
      <c r="UK14" s="381"/>
      <c r="UL14" s="381"/>
      <c r="UM14" s="381"/>
      <c r="UN14" s="381"/>
      <c r="UO14" s="381"/>
      <c r="UP14" s="381"/>
      <c r="UQ14" s="381"/>
      <c r="UR14" s="381"/>
      <c r="US14" s="381"/>
      <c r="UT14" s="381"/>
      <c r="UU14" s="381"/>
      <c r="UV14" s="381"/>
      <c r="UW14" s="381"/>
      <c r="UX14" s="381"/>
      <c r="UY14" s="381"/>
      <c r="UZ14" s="381"/>
      <c r="VA14" s="381"/>
      <c r="VB14" s="381"/>
      <c r="VC14" s="381"/>
      <c r="VD14" s="381"/>
      <c r="VE14" s="381"/>
      <c r="VF14" s="381"/>
      <c r="VG14" s="381"/>
      <c r="VH14" s="381"/>
      <c r="VI14" s="381"/>
      <c r="VJ14" s="381"/>
      <c r="VK14" s="381"/>
      <c r="VL14" s="381"/>
      <c r="VM14" s="381"/>
      <c r="VN14" s="381"/>
      <c r="VO14" s="381"/>
      <c r="VP14" s="381"/>
      <c r="VQ14" s="381"/>
      <c r="VR14" s="381"/>
      <c r="VS14" s="381"/>
      <c r="VT14" s="381"/>
      <c r="VU14" s="381"/>
      <c r="VV14" s="381"/>
      <c r="VW14" s="381"/>
      <c r="VX14" s="381"/>
      <c r="VY14" s="381"/>
      <c r="VZ14" s="381"/>
      <c r="WA14" s="381"/>
      <c r="WB14" s="381"/>
      <c r="WC14" s="381"/>
      <c r="WD14" s="381"/>
      <c r="WE14" s="381"/>
      <c r="WF14" s="381"/>
      <c r="WG14" s="381"/>
      <c r="WH14" s="381"/>
      <c r="WI14" s="381"/>
      <c r="WJ14" s="381"/>
      <c r="WK14" s="381"/>
      <c r="WL14" s="381"/>
      <c r="WM14" s="381"/>
      <c r="WN14" s="381"/>
      <c r="WO14" s="381"/>
      <c r="WP14" s="381"/>
      <c r="WQ14" s="381"/>
      <c r="WR14" s="381"/>
      <c r="WS14" s="381"/>
      <c r="WT14" s="381"/>
      <c r="WU14" s="381"/>
      <c r="WV14" s="381"/>
      <c r="WW14" s="381"/>
      <c r="WX14" s="381"/>
      <c r="WY14" s="381"/>
      <c r="WZ14" s="381"/>
      <c r="XA14" s="381"/>
      <c r="XB14" s="381"/>
      <c r="XC14" s="381"/>
      <c r="XD14" s="381"/>
      <c r="XE14" s="381"/>
      <c r="XF14" s="381"/>
      <c r="XG14" s="381"/>
      <c r="XH14" s="381"/>
      <c r="XI14" s="381"/>
      <c r="XJ14" s="381"/>
      <c r="XK14" s="381"/>
      <c r="XL14" s="381"/>
      <c r="XM14" s="381"/>
      <c r="XN14" s="381"/>
      <c r="XO14" s="381"/>
      <c r="XP14" s="381"/>
      <c r="XQ14" s="381"/>
      <c r="XR14" s="381"/>
      <c r="XS14" s="381"/>
      <c r="XT14" s="381"/>
      <c r="XU14" s="381"/>
      <c r="XV14" s="381"/>
      <c r="XW14" s="381"/>
      <c r="XX14" s="381"/>
      <c r="XY14" s="381"/>
      <c r="XZ14" s="381"/>
      <c r="YA14" s="381"/>
      <c r="YB14" s="381"/>
      <c r="YC14" s="381"/>
      <c r="YD14" s="381"/>
      <c r="YE14" s="381"/>
      <c r="YF14" s="381"/>
      <c r="YG14" s="381"/>
      <c r="YH14" s="381"/>
      <c r="YI14" s="381"/>
      <c r="YJ14" s="381"/>
      <c r="YK14" s="381"/>
      <c r="YL14" s="381"/>
      <c r="YM14" s="381"/>
      <c r="YN14" s="381"/>
      <c r="YO14" s="381"/>
      <c r="YP14" s="381"/>
      <c r="YQ14" s="381"/>
      <c r="YR14" s="381"/>
      <c r="YS14" s="381"/>
      <c r="YT14" s="381"/>
      <c r="YU14" s="381"/>
      <c r="YV14" s="381"/>
      <c r="YW14" s="381"/>
      <c r="YX14" s="381"/>
      <c r="YY14" s="381"/>
      <c r="YZ14" s="381"/>
      <c r="ZA14" s="381"/>
      <c r="ZB14" s="381"/>
      <c r="ZC14" s="381"/>
      <c r="ZD14" s="381"/>
      <c r="ZE14" s="381"/>
      <c r="ZF14" s="381"/>
      <c r="ZG14" s="381"/>
      <c r="ZH14" s="381"/>
      <c r="ZI14" s="381"/>
      <c r="ZJ14" s="381"/>
      <c r="ZK14" s="381"/>
      <c r="ZL14" s="381"/>
      <c r="ZM14" s="381"/>
      <c r="ZN14" s="381"/>
      <c r="ZO14" s="381"/>
      <c r="ZP14" s="381"/>
      <c r="ZQ14" s="381"/>
      <c r="ZR14" s="381"/>
      <c r="ZS14" s="381"/>
      <c r="ZT14" s="381"/>
      <c r="ZU14" s="381"/>
      <c r="ZV14" s="381"/>
      <c r="ZW14" s="381"/>
      <c r="ZX14" s="381"/>
      <c r="ZY14" s="381"/>
      <c r="ZZ14" s="381"/>
      <c r="AAA14" s="381"/>
      <c r="AAB14" s="381"/>
      <c r="AAC14" s="381"/>
      <c r="AAD14" s="381"/>
      <c r="AAE14" s="381"/>
      <c r="AAF14" s="381"/>
      <c r="AAG14" s="381"/>
      <c r="AAH14" s="381"/>
      <c r="AAI14" s="381"/>
      <c r="AAJ14" s="381"/>
      <c r="AAK14" s="381"/>
      <c r="AAL14" s="381"/>
      <c r="AAM14" s="381"/>
      <c r="AAN14" s="381"/>
      <c r="AAO14" s="381"/>
      <c r="AAP14" s="381"/>
      <c r="AAQ14" s="381"/>
      <c r="AAR14" s="381"/>
      <c r="AAS14" s="381"/>
      <c r="AAT14" s="381"/>
      <c r="AAU14" s="381"/>
      <c r="AAV14" s="381"/>
      <c r="AAW14" s="381"/>
      <c r="AAX14" s="381"/>
      <c r="AAY14" s="381"/>
      <c r="AAZ14" s="381"/>
      <c r="ABA14" s="381"/>
      <c r="ABB14" s="381"/>
      <c r="ABC14" s="381"/>
      <c r="ABD14" s="381"/>
      <c r="ABE14" s="381"/>
      <c r="ABF14" s="381"/>
      <c r="ABG14" s="381"/>
      <c r="ABH14" s="381"/>
      <c r="ABI14" s="381"/>
      <c r="ABJ14" s="381"/>
      <c r="ABK14" s="381"/>
      <c r="ABL14" s="381"/>
      <c r="ABM14" s="381"/>
      <c r="ABN14" s="381"/>
      <c r="ABO14" s="381"/>
      <c r="ABP14" s="381"/>
      <c r="ABQ14" s="381"/>
      <c r="ABR14" s="381"/>
      <c r="ABS14" s="381"/>
      <c r="ABT14" s="381"/>
      <c r="ABU14" s="381"/>
      <c r="ABV14" s="381"/>
      <c r="ABW14" s="381"/>
      <c r="ABX14" s="381"/>
      <c r="ABY14" s="381"/>
      <c r="ABZ14" s="381"/>
      <c r="ACA14" s="381"/>
      <c r="ACB14" s="381"/>
      <c r="ACC14" s="381"/>
      <c r="ACD14" s="381"/>
      <c r="ACE14" s="381"/>
      <c r="ACF14" s="381"/>
      <c r="ACG14" s="381"/>
      <c r="ACH14" s="381"/>
      <c r="ACI14" s="381"/>
      <c r="ACJ14" s="381"/>
      <c r="ACK14" s="381"/>
      <c r="ACL14" s="381"/>
      <c r="ACM14" s="381"/>
      <c r="ACN14" s="381"/>
      <c r="ACO14" s="381"/>
      <c r="ACP14" s="381"/>
      <c r="ACQ14" s="381"/>
      <c r="ACR14" s="381"/>
      <c r="ACS14" s="381"/>
      <c r="ACT14" s="381"/>
      <c r="ACU14" s="381"/>
      <c r="ACV14" s="381"/>
      <c r="ACW14" s="381"/>
      <c r="ACX14" s="381"/>
      <c r="ACY14" s="381"/>
      <c r="ACZ14" s="381"/>
      <c r="ADA14" s="381"/>
      <c r="ADB14" s="381"/>
      <c r="ADC14" s="381"/>
      <c r="ADD14" s="381"/>
      <c r="ADE14" s="381"/>
      <c r="ADF14" s="381"/>
      <c r="ADG14" s="381"/>
      <c r="ADH14" s="381"/>
      <c r="ADI14" s="381"/>
      <c r="ADJ14" s="381"/>
      <c r="ADK14" s="381"/>
      <c r="ADL14" s="381"/>
      <c r="ADM14" s="381"/>
      <c r="ADN14" s="381"/>
      <c r="ADO14" s="381"/>
      <c r="ADP14" s="381"/>
      <c r="ADQ14" s="381"/>
      <c r="ADR14" s="381"/>
      <c r="ADS14" s="381"/>
      <c r="ADT14" s="381"/>
      <c r="ADU14" s="381"/>
      <c r="ADV14" s="381"/>
      <c r="ADW14" s="381"/>
      <c r="ADX14" s="381"/>
      <c r="ADY14" s="381"/>
      <c r="ADZ14" s="381"/>
      <c r="AEA14" s="381"/>
      <c r="AEB14" s="381"/>
      <c r="AEC14" s="381"/>
      <c r="AED14" s="381"/>
      <c r="AEE14" s="381"/>
      <c r="AEF14" s="381"/>
      <c r="AEG14" s="381"/>
      <c r="AEH14" s="381"/>
      <c r="AEI14" s="381"/>
      <c r="AEJ14" s="381"/>
      <c r="AEK14" s="381"/>
      <c r="AEL14" s="381"/>
      <c r="AEM14" s="381"/>
      <c r="AEN14" s="381"/>
      <c r="AEO14" s="381"/>
      <c r="AEP14" s="381"/>
      <c r="AEQ14" s="381"/>
      <c r="AER14" s="381"/>
      <c r="AES14" s="381"/>
      <c r="AET14" s="381"/>
      <c r="AEU14" s="381"/>
      <c r="AEV14" s="381"/>
      <c r="AEW14" s="381"/>
      <c r="AEX14" s="381"/>
      <c r="AEY14" s="381"/>
      <c r="AEZ14" s="381"/>
      <c r="AFA14" s="381"/>
      <c r="AFB14" s="381"/>
      <c r="AFC14" s="381"/>
      <c r="AFD14" s="381"/>
      <c r="AFE14" s="381"/>
      <c r="AFF14" s="381"/>
      <c r="AFG14" s="381"/>
      <c r="AFH14" s="381"/>
      <c r="AFI14" s="381"/>
      <c r="AFJ14" s="381"/>
      <c r="AFK14" s="381"/>
      <c r="AFL14" s="381"/>
      <c r="AFM14" s="381"/>
      <c r="AFN14" s="381"/>
      <c r="AFO14" s="381"/>
      <c r="AFP14" s="381"/>
      <c r="AFQ14" s="381"/>
      <c r="AFR14" s="381"/>
      <c r="AFS14" s="381"/>
      <c r="AFT14" s="381"/>
      <c r="AFU14" s="381"/>
      <c r="AFV14" s="381"/>
      <c r="AFW14" s="381"/>
      <c r="AFX14" s="381"/>
      <c r="AFY14" s="381"/>
      <c r="AFZ14" s="381"/>
      <c r="AGA14" s="381"/>
      <c r="AGB14" s="381"/>
      <c r="AGC14" s="381"/>
      <c r="AGD14" s="381"/>
      <c r="AGE14" s="381"/>
      <c r="AGF14" s="381"/>
      <c r="AGG14" s="381"/>
      <c r="AGH14" s="381"/>
      <c r="AGI14" s="381"/>
      <c r="AGJ14" s="381"/>
      <c r="AGK14" s="381"/>
      <c r="AGL14" s="381"/>
      <c r="AGM14" s="381"/>
      <c r="AGN14" s="381"/>
      <c r="AGO14" s="381"/>
      <c r="AGP14" s="381"/>
      <c r="AGQ14" s="381"/>
      <c r="AGR14" s="381"/>
      <c r="AGS14" s="381"/>
      <c r="AGT14" s="381"/>
      <c r="AGU14" s="381"/>
      <c r="AGV14" s="381"/>
      <c r="AGW14" s="381"/>
      <c r="AGX14" s="381"/>
      <c r="AGY14" s="381"/>
      <c r="AGZ14" s="381"/>
      <c r="AHA14" s="381"/>
      <c r="AHB14" s="381"/>
      <c r="AHC14" s="381"/>
      <c r="AHD14" s="381"/>
      <c r="AHE14" s="381"/>
      <c r="AHF14" s="381"/>
      <c r="AHG14" s="381"/>
      <c r="AHH14" s="381"/>
      <c r="AHI14" s="381"/>
      <c r="AHJ14" s="381"/>
      <c r="AHK14" s="381"/>
      <c r="AHL14" s="381"/>
      <c r="AHM14" s="381"/>
      <c r="AHN14" s="381"/>
      <c r="AHO14" s="381"/>
      <c r="AHP14" s="381"/>
      <c r="AHQ14" s="381"/>
      <c r="AHR14" s="381"/>
      <c r="AHS14" s="381"/>
      <c r="AHT14" s="381"/>
      <c r="AHU14" s="381"/>
      <c r="AHV14" s="381"/>
      <c r="AHW14" s="381"/>
      <c r="AHX14" s="381"/>
      <c r="AHY14" s="381"/>
      <c r="AHZ14" s="381"/>
      <c r="AIA14" s="381"/>
      <c r="AIB14" s="381"/>
      <c r="AIC14" s="381"/>
      <c r="AID14" s="381"/>
      <c r="AIE14" s="381"/>
      <c r="AIF14" s="381"/>
      <c r="AIG14" s="381"/>
      <c r="AIH14" s="381"/>
      <c r="AII14" s="381"/>
      <c r="AIJ14" s="381"/>
      <c r="AIK14" s="381"/>
      <c r="AIL14" s="381"/>
      <c r="AIM14" s="381"/>
      <c r="AIN14" s="381"/>
      <c r="AIO14" s="381"/>
      <c r="AIP14" s="381"/>
      <c r="AIQ14" s="381"/>
      <c r="AIR14" s="381"/>
      <c r="AIS14" s="381"/>
      <c r="AIT14" s="381"/>
      <c r="AIU14" s="381"/>
      <c r="AIV14" s="381"/>
      <c r="AIW14" s="381"/>
      <c r="AIX14" s="381"/>
      <c r="AIY14" s="381"/>
      <c r="AIZ14" s="381"/>
      <c r="AJA14" s="381"/>
      <c r="AJB14" s="381"/>
      <c r="AJC14" s="381"/>
      <c r="AJD14" s="381"/>
      <c r="AJE14" s="381"/>
      <c r="AJF14" s="381"/>
      <c r="AJG14" s="381"/>
      <c r="AJH14" s="381"/>
      <c r="AJI14" s="381"/>
      <c r="AJJ14" s="381"/>
      <c r="AJK14" s="381"/>
      <c r="AJL14" s="381"/>
      <c r="AJM14" s="381"/>
      <c r="AJN14" s="381"/>
      <c r="AJO14" s="381"/>
      <c r="AJP14" s="381"/>
      <c r="AJQ14" s="381"/>
      <c r="AJR14" s="381"/>
      <c r="AJS14" s="381"/>
      <c r="AJT14" s="381"/>
      <c r="AJU14" s="381"/>
      <c r="AJV14" s="381"/>
      <c r="AJW14" s="381"/>
      <c r="AJX14" s="381"/>
      <c r="AJY14" s="381"/>
      <c r="AJZ14" s="381"/>
      <c r="AKA14" s="381"/>
      <c r="AKB14" s="381"/>
      <c r="AKC14" s="381"/>
      <c r="AKD14" s="381"/>
      <c r="AKE14" s="381"/>
      <c r="AKF14" s="381"/>
      <c r="AKG14" s="381"/>
      <c r="AKH14" s="381"/>
      <c r="AKI14" s="381"/>
      <c r="AKJ14" s="381"/>
      <c r="AKK14" s="381"/>
      <c r="AKL14" s="381"/>
      <c r="AKM14" s="381"/>
      <c r="AKN14" s="381"/>
      <c r="AKO14" s="381"/>
      <c r="AKP14" s="381"/>
      <c r="AKQ14" s="381"/>
      <c r="AKR14" s="381"/>
      <c r="AKS14" s="381"/>
      <c r="AKT14" s="381"/>
      <c r="AKU14" s="381"/>
      <c r="AKV14" s="381"/>
      <c r="AKW14" s="381"/>
      <c r="AKX14" s="381"/>
      <c r="AKY14" s="381"/>
      <c r="AKZ14" s="381"/>
      <c r="ALA14" s="381"/>
      <c r="ALB14" s="381"/>
      <c r="ALC14" s="381"/>
    </row>
    <row r="15" spans="1:991" s="400" customFormat="1" ht="87" customHeight="1" thickBot="1" x14ac:dyDescent="0.3">
      <c r="A15" s="381"/>
      <c r="B15" s="360"/>
      <c r="C15" s="361" t="e">
        <f>J15-#REF!</f>
        <v>#REF!</v>
      </c>
      <c r="D15" s="362" t="s">
        <v>445</v>
      </c>
      <c r="E15" s="382" t="s">
        <v>446</v>
      </c>
      <c r="F15" s="383">
        <v>607</v>
      </c>
      <c r="G15" s="384"/>
      <c r="H15" s="385" t="s">
        <v>112</v>
      </c>
      <c r="I15" s="386" t="s">
        <v>447</v>
      </c>
      <c r="J15" s="387">
        <v>620445</v>
      </c>
      <c r="K15" s="388">
        <v>620445</v>
      </c>
      <c r="L15" s="389">
        <v>0</v>
      </c>
      <c r="M15" s="390">
        <v>0</v>
      </c>
      <c r="N15" s="390">
        <v>0</v>
      </c>
      <c r="O15" s="391">
        <v>0</v>
      </c>
      <c r="P15" s="389"/>
      <c r="Q15" s="390"/>
      <c r="R15" s="390"/>
      <c r="S15" s="392"/>
      <c r="T15" s="393"/>
      <c r="U15" s="389"/>
      <c r="V15" s="390"/>
      <c r="W15" s="390"/>
      <c r="X15" s="390"/>
      <c r="Y15" s="390"/>
      <c r="Z15" s="390"/>
      <c r="AA15" s="390"/>
      <c r="AB15" s="392"/>
      <c r="AC15" s="392"/>
      <c r="AD15" s="392"/>
      <c r="AE15" s="392"/>
      <c r="AF15" s="390"/>
      <c r="AG15" s="392"/>
      <c r="AH15" s="394"/>
      <c r="AI15" s="393"/>
      <c r="AJ15" s="389"/>
      <c r="AK15" s="390"/>
      <c r="AL15" s="395"/>
      <c r="AM15" s="376">
        <v>620445</v>
      </c>
      <c r="AN15" s="395">
        <v>0</v>
      </c>
      <c r="AO15" s="376">
        <v>0</v>
      </c>
      <c r="AP15" s="396">
        <v>950000</v>
      </c>
      <c r="AQ15" s="390"/>
      <c r="AR15" s="390"/>
      <c r="AS15" s="390">
        <v>0</v>
      </c>
      <c r="AT15" s="392"/>
      <c r="AU15" s="392"/>
      <c r="AV15" s="390"/>
      <c r="AW15" s="392"/>
      <c r="AX15" s="393"/>
      <c r="AY15" s="389"/>
      <c r="AZ15" s="397"/>
      <c r="BA15" s="398"/>
      <c r="BB15" s="399"/>
      <c r="BC15" s="381"/>
      <c r="BD15" s="381"/>
      <c r="BE15" s="381"/>
      <c r="BF15" s="381"/>
      <c r="BG15" s="381"/>
      <c r="BH15" s="381"/>
      <c r="BI15" s="381"/>
      <c r="BJ15" s="381"/>
      <c r="BK15" s="381"/>
      <c r="BL15" s="381"/>
      <c r="BM15" s="381"/>
      <c r="BN15" s="381"/>
      <c r="BO15" s="381"/>
      <c r="BP15" s="381"/>
      <c r="BQ15" s="381"/>
      <c r="BR15" s="381"/>
      <c r="BS15" s="381"/>
      <c r="BT15" s="381"/>
      <c r="BU15" s="381"/>
      <c r="BV15" s="381"/>
      <c r="BW15" s="381"/>
      <c r="BX15" s="381"/>
      <c r="BY15" s="381"/>
      <c r="BZ15" s="381"/>
      <c r="CA15" s="381"/>
      <c r="CB15" s="381"/>
      <c r="CC15" s="381"/>
      <c r="CD15" s="381"/>
      <c r="CE15" s="381"/>
      <c r="CF15" s="381"/>
      <c r="CG15" s="381"/>
      <c r="CH15" s="381"/>
      <c r="CI15" s="381"/>
      <c r="CJ15" s="381"/>
      <c r="CK15" s="381"/>
      <c r="CL15" s="381"/>
      <c r="CM15" s="381"/>
      <c r="CN15" s="381"/>
      <c r="CO15" s="381"/>
      <c r="CP15" s="381"/>
      <c r="CQ15" s="381"/>
      <c r="CR15" s="381"/>
      <c r="CS15" s="381"/>
      <c r="CT15" s="381"/>
      <c r="CU15" s="381"/>
      <c r="CV15" s="381"/>
      <c r="CW15" s="381"/>
      <c r="CX15" s="381"/>
      <c r="CY15" s="381"/>
      <c r="CZ15" s="381"/>
      <c r="DA15" s="381"/>
      <c r="DB15" s="381"/>
      <c r="DC15" s="381"/>
      <c r="DD15" s="381"/>
      <c r="DE15" s="381"/>
      <c r="DF15" s="381"/>
      <c r="DG15" s="381"/>
      <c r="DH15" s="381"/>
      <c r="DI15" s="381"/>
      <c r="DJ15" s="381"/>
      <c r="DK15" s="381"/>
      <c r="DL15" s="381"/>
      <c r="DM15" s="381"/>
      <c r="DN15" s="381"/>
      <c r="DO15" s="381"/>
      <c r="DP15" s="381"/>
      <c r="DQ15" s="381"/>
      <c r="DR15" s="381"/>
      <c r="DS15" s="381"/>
      <c r="DT15" s="381"/>
      <c r="DU15" s="381"/>
      <c r="DV15" s="381"/>
      <c r="DW15" s="381"/>
      <c r="DX15" s="381"/>
      <c r="DY15" s="381"/>
      <c r="DZ15" s="381"/>
      <c r="EA15" s="381"/>
      <c r="EB15" s="381"/>
      <c r="EC15" s="381"/>
      <c r="ED15" s="381"/>
      <c r="EE15" s="381"/>
      <c r="EF15" s="381"/>
      <c r="EG15" s="381"/>
      <c r="EH15" s="381"/>
      <c r="EI15" s="381"/>
      <c r="EJ15" s="381"/>
      <c r="EK15" s="381"/>
      <c r="EL15" s="381"/>
      <c r="EM15" s="381"/>
      <c r="EN15" s="381"/>
      <c r="EO15" s="381"/>
      <c r="EP15" s="381"/>
      <c r="EQ15" s="381"/>
      <c r="ER15" s="381"/>
      <c r="ES15" s="381"/>
      <c r="ET15" s="381"/>
      <c r="EU15" s="381"/>
      <c r="EV15" s="381"/>
      <c r="EW15" s="381"/>
      <c r="EX15" s="381"/>
      <c r="EY15" s="381"/>
      <c r="EZ15" s="381"/>
      <c r="FA15" s="381"/>
      <c r="FB15" s="381"/>
      <c r="FC15" s="381"/>
      <c r="FD15" s="381"/>
      <c r="FE15" s="381"/>
      <c r="FF15" s="381"/>
      <c r="FG15" s="381"/>
      <c r="FH15" s="381"/>
      <c r="FI15" s="381"/>
      <c r="FJ15" s="381"/>
      <c r="FK15" s="381"/>
      <c r="FL15" s="381"/>
      <c r="FM15" s="381"/>
      <c r="FN15" s="381"/>
      <c r="FO15" s="381"/>
      <c r="FP15" s="381"/>
      <c r="FQ15" s="381"/>
      <c r="FR15" s="381"/>
      <c r="FS15" s="381"/>
      <c r="FT15" s="381"/>
      <c r="FU15" s="381"/>
      <c r="FV15" s="381"/>
      <c r="FW15" s="381"/>
      <c r="FX15" s="381"/>
      <c r="FY15" s="381"/>
      <c r="FZ15" s="381"/>
      <c r="GA15" s="381"/>
      <c r="GB15" s="381"/>
      <c r="GC15" s="381"/>
      <c r="GD15" s="381"/>
      <c r="GE15" s="381"/>
      <c r="GF15" s="381"/>
      <c r="GG15" s="381"/>
      <c r="GH15" s="381"/>
      <c r="GI15" s="381"/>
      <c r="GJ15" s="381"/>
      <c r="GK15" s="381"/>
      <c r="GL15" s="381"/>
      <c r="GM15" s="381"/>
      <c r="GN15" s="381"/>
      <c r="GO15" s="381"/>
      <c r="GP15" s="381"/>
      <c r="GQ15" s="381"/>
      <c r="GR15" s="381"/>
      <c r="GS15" s="381"/>
      <c r="GT15" s="381"/>
      <c r="GU15" s="381"/>
      <c r="GV15" s="381"/>
      <c r="GW15" s="381"/>
      <c r="GX15" s="381"/>
      <c r="GY15" s="381"/>
      <c r="GZ15" s="381"/>
      <c r="HA15" s="381"/>
      <c r="HB15" s="381"/>
      <c r="HC15" s="381"/>
      <c r="HD15" s="381"/>
      <c r="HE15" s="381"/>
      <c r="HF15" s="381"/>
      <c r="HG15" s="381"/>
      <c r="HH15" s="381"/>
      <c r="HI15" s="381"/>
      <c r="HJ15" s="381"/>
      <c r="HK15" s="381"/>
      <c r="HL15" s="381"/>
      <c r="HM15" s="381"/>
      <c r="HN15" s="381"/>
      <c r="HO15" s="381"/>
      <c r="HP15" s="381"/>
      <c r="HQ15" s="381"/>
      <c r="HR15" s="381"/>
      <c r="HS15" s="381"/>
      <c r="HT15" s="381"/>
      <c r="HU15" s="381"/>
      <c r="HV15" s="381"/>
      <c r="HW15" s="381"/>
      <c r="HX15" s="381"/>
      <c r="HY15" s="381"/>
      <c r="HZ15" s="381"/>
      <c r="IA15" s="381"/>
      <c r="IB15" s="381"/>
      <c r="IC15" s="381"/>
      <c r="ID15" s="381"/>
      <c r="IE15" s="381"/>
      <c r="IF15" s="381"/>
      <c r="IG15" s="381"/>
      <c r="IH15" s="381"/>
      <c r="II15" s="381"/>
      <c r="IJ15" s="381"/>
      <c r="IK15" s="381"/>
      <c r="IL15" s="381"/>
      <c r="IM15" s="381"/>
      <c r="IN15" s="381"/>
      <c r="IO15" s="381"/>
      <c r="IP15" s="381"/>
      <c r="IQ15" s="381"/>
      <c r="IR15" s="381"/>
      <c r="IS15" s="381"/>
      <c r="IT15" s="381"/>
      <c r="IU15" s="381"/>
      <c r="IV15" s="381"/>
      <c r="IW15" s="381"/>
      <c r="IX15" s="381"/>
      <c r="IY15" s="381"/>
      <c r="IZ15" s="381"/>
      <c r="JA15" s="381"/>
      <c r="JB15" s="381"/>
      <c r="JC15" s="381"/>
      <c r="JD15" s="381"/>
      <c r="JE15" s="381"/>
      <c r="JF15" s="381"/>
      <c r="JG15" s="381"/>
      <c r="JH15" s="381"/>
      <c r="JI15" s="381"/>
      <c r="JJ15" s="381"/>
      <c r="JK15" s="381"/>
      <c r="JL15" s="381"/>
      <c r="JM15" s="381"/>
      <c r="JN15" s="381"/>
      <c r="JO15" s="381"/>
      <c r="JP15" s="381"/>
      <c r="JQ15" s="381"/>
      <c r="JR15" s="381"/>
      <c r="JS15" s="381"/>
      <c r="JT15" s="381"/>
      <c r="JU15" s="381"/>
      <c r="JV15" s="381"/>
      <c r="JW15" s="381"/>
      <c r="JX15" s="381"/>
      <c r="JY15" s="381"/>
      <c r="JZ15" s="381"/>
      <c r="KA15" s="381"/>
      <c r="KB15" s="381"/>
      <c r="KC15" s="381"/>
      <c r="KD15" s="381"/>
      <c r="KE15" s="381"/>
      <c r="KF15" s="381"/>
      <c r="KG15" s="381"/>
      <c r="KH15" s="381"/>
      <c r="KI15" s="381"/>
      <c r="KJ15" s="381"/>
      <c r="KK15" s="381"/>
      <c r="KL15" s="381"/>
      <c r="KM15" s="381"/>
      <c r="KN15" s="381"/>
      <c r="KO15" s="381"/>
      <c r="KP15" s="381"/>
      <c r="KQ15" s="381"/>
      <c r="KR15" s="381"/>
      <c r="KS15" s="381"/>
      <c r="KT15" s="381"/>
      <c r="KU15" s="381"/>
      <c r="KV15" s="381"/>
      <c r="KW15" s="381"/>
      <c r="KX15" s="381"/>
      <c r="KY15" s="381"/>
      <c r="KZ15" s="381"/>
      <c r="LA15" s="381"/>
      <c r="LB15" s="381"/>
      <c r="LC15" s="381"/>
      <c r="LD15" s="381"/>
      <c r="LE15" s="381"/>
      <c r="LF15" s="381"/>
      <c r="LG15" s="381"/>
      <c r="LH15" s="381"/>
      <c r="LI15" s="381"/>
      <c r="LJ15" s="381"/>
      <c r="LK15" s="381"/>
      <c r="LL15" s="381"/>
      <c r="LM15" s="381"/>
      <c r="LN15" s="381"/>
      <c r="LO15" s="381"/>
      <c r="LP15" s="381"/>
      <c r="LQ15" s="381"/>
      <c r="LR15" s="381"/>
      <c r="LS15" s="381"/>
      <c r="LT15" s="381"/>
      <c r="LU15" s="381"/>
      <c r="LV15" s="381"/>
      <c r="LW15" s="381"/>
      <c r="LX15" s="381"/>
      <c r="LY15" s="381"/>
      <c r="LZ15" s="381"/>
      <c r="MA15" s="381"/>
      <c r="MB15" s="381"/>
      <c r="MC15" s="381"/>
      <c r="MD15" s="381"/>
      <c r="ME15" s="381"/>
      <c r="MF15" s="381"/>
      <c r="MG15" s="381"/>
      <c r="MH15" s="381"/>
      <c r="MI15" s="381"/>
      <c r="MJ15" s="381"/>
      <c r="MK15" s="381"/>
      <c r="ML15" s="381"/>
      <c r="MM15" s="381"/>
      <c r="MN15" s="381"/>
      <c r="MO15" s="381"/>
      <c r="MP15" s="381"/>
      <c r="MQ15" s="381"/>
      <c r="MR15" s="381"/>
      <c r="MS15" s="381"/>
      <c r="MT15" s="381"/>
      <c r="MU15" s="381"/>
      <c r="MV15" s="381"/>
      <c r="MW15" s="381"/>
      <c r="MX15" s="381"/>
      <c r="MY15" s="381"/>
      <c r="MZ15" s="381"/>
      <c r="NA15" s="381"/>
      <c r="NB15" s="381"/>
      <c r="NC15" s="381"/>
      <c r="ND15" s="381"/>
      <c r="NE15" s="381"/>
      <c r="NF15" s="381"/>
      <c r="NG15" s="381"/>
      <c r="NH15" s="381"/>
      <c r="NI15" s="381"/>
      <c r="NJ15" s="381"/>
      <c r="NK15" s="381"/>
      <c r="NL15" s="381"/>
      <c r="NM15" s="381"/>
      <c r="NN15" s="381"/>
      <c r="NO15" s="381"/>
      <c r="NP15" s="381"/>
      <c r="NQ15" s="381"/>
      <c r="NR15" s="381"/>
      <c r="NS15" s="381"/>
      <c r="NT15" s="381"/>
      <c r="NU15" s="381"/>
      <c r="NV15" s="381"/>
      <c r="NW15" s="381"/>
      <c r="NX15" s="381"/>
      <c r="NY15" s="381"/>
      <c r="NZ15" s="381"/>
      <c r="OA15" s="381"/>
      <c r="OB15" s="381"/>
      <c r="OC15" s="381"/>
      <c r="OD15" s="381"/>
      <c r="OE15" s="381"/>
      <c r="OF15" s="381"/>
      <c r="OG15" s="381"/>
      <c r="OH15" s="381"/>
      <c r="OI15" s="381"/>
      <c r="OJ15" s="381"/>
      <c r="OK15" s="381"/>
      <c r="OL15" s="381"/>
      <c r="OM15" s="381"/>
      <c r="ON15" s="381"/>
      <c r="OO15" s="381"/>
      <c r="OP15" s="381"/>
      <c r="OQ15" s="381"/>
      <c r="OR15" s="381"/>
      <c r="OS15" s="381"/>
      <c r="OT15" s="381"/>
      <c r="OU15" s="381"/>
      <c r="OV15" s="381"/>
      <c r="OW15" s="381"/>
      <c r="OX15" s="381"/>
      <c r="OY15" s="381"/>
      <c r="OZ15" s="381"/>
      <c r="PA15" s="381"/>
      <c r="PB15" s="381"/>
      <c r="PC15" s="381"/>
      <c r="PD15" s="381"/>
      <c r="PE15" s="381"/>
      <c r="PF15" s="381"/>
      <c r="PG15" s="381"/>
      <c r="PH15" s="381"/>
      <c r="PI15" s="381"/>
      <c r="PJ15" s="381"/>
      <c r="PK15" s="381"/>
      <c r="PL15" s="381"/>
      <c r="PM15" s="381"/>
      <c r="PN15" s="381"/>
      <c r="PO15" s="381"/>
      <c r="PP15" s="381"/>
      <c r="PQ15" s="381"/>
      <c r="PR15" s="381"/>
      <c r="PS15" s="381"/>
      <c r="PT15" s="381"/>
      <c r="PU15" s="381"/>
      <c r="PV15" s="381"/>
      <c r="PW15" s="381"/>
      <c r="PX15" s="381"/>
      <c r="PY15" s="381"/>
      <c r="PZ15" s="381"/>
      <c r="QA15" s="381"/>
      <c r="QB15" s="381"/>
      <c r="QC15" s="381"/>
      <c r="QD15" s="381"/>
      <c r="QE15" s="381"/>
      <c r="QF15" s="381"/>
      <c r="QG15" s="381"/>
      <c r="QH15" s="381"/>
      <c r="QI15" s="381"/>
      <c r="QJ15" s="381"/>
      <c r="QK15" s="381"/>
      <c r="QL15" s="381"/>
      <c r="QM15" s="381"/>
      <c r="QN15" s="381"/>
      <c r="QO15" s="381"/>
      <c r="QP15" s="381"/>
      <c r="QQ15" s="381"/>
      <c r="QR15" s="381"/>
      <c r="QS15" s="381"/>
      <c r="QT15" s="381"/>
      <c r="QU15" s="381"/>
      <c r="QV15" s="381"/>
      <c r="QW15" s="381"/>
      <c r="QX15" s="381"/>
      <c r="QY15" s="381"/>
      <c r="QZ15" s="381"/>
      <c r="RA15" s="381"/>
      <c r="RB15" s="381"/>
      <c r="RC15" s="381"/>
      <c r="RD15" s="381"/>
      <c r="RE15" s="381"/>
      <c r="RF15" s="381"/>
      <c r="RG15" s="381"/>
      <c r="RH15" s="381"/>
      <c r="RI15" s="381"/>
      <c r="RJ15" s="381"/>
      <c r="RK15" s="381"/>
      <c r="RL15" s="381"/>
      <c r="RM15" s="381"/>
      <c r="RN15" s="381"/>
      <c r="RO15" s="381"/>
      <c r="RP15" s="381"/>
      <c r="RQ15" s="381"/>
      <c r="RR15" s="381"/>
      <c r="RS15" s="381"/>
      <c r="RT15" s="381"/>
      <c r="RU15" s="381"/>
      <c r="RV15" s="381"/>
      <c r="RW15" s="381"/>
      <c r="RX15" s="381"/>
      <c r="RY15" s="381"/>
      <c r="RZ15" s="381"/>
      <c r="SA15" s="381"/>
      <c r="SB15" s="381"/>
      <c r="SC15" s="381"/>
      <c r="SD15" s="381"/>
      <c r="SE15" s="381"/>
      <c r="SF15" s="381"/>
      <c r="SG15" s="381"/>
      <c r="SH15" s="381"/>
      <c r="SI15" s="381"/>
      <c r="SJ15" s="381"/>
      <c r="SK15" s="381"/>
      <c r="SL15" s="381"/>
      <c r="SM15" s="381"/>
      <c r="SN15" s="381"/>
      <c r="SO15" s="381"/>
      <c r="SP15" s="381"/>
      <c r="SQ15" s="381"/>
      <c r="SR15" s="381"/>
      <c r="SS15" s="381"/>
      <c r="ST15" s="381"/>
      <c r="SU15" s="381"/>
      <c r="SV15" s="381"/>
      <c r="SW15" s="381"/>
      <c r="SX15" s="381"/>
      <c r="SY15" s="381"/>
      <c r="SZ15" s="381"/>
      <c r="TA15" s="381"/>
      <c r="TB15" s="381"/>
      <c r="TC15" s="381"/>
      <c r="TD15" s="381"/>
      <c r="TE15" s="381"/>
      <c r="TF15" s="381"/>
      <c r="TG15" s="381"/>
      <c r="TH15" s="381"/>
      <c r="TI15" s="381"/>
      <c r="TJ15" s="381"/>
      <c r="TK15" s="381"/>
      <c r="TL15" s="381"/>
      <c r="TM15" s="381"/>
      <c r="TN15" s="381"/>
      <c r="TO15" s="381"/>
      <c r="TP15" s="381"/>
      <c r="TQ15" s="381"/>
      <c r="TR15" s="381"/>
      <c r="TS15" s="381"/>
      <c r="TT15" s="381"/>
      <c r="TU15" s="381"/>
      <c r="TV15" s="381"/>
      <c r="TW15" s="381"/>
      <c r="TX15" s="381"/>
      <c r="TY15" s="381"/>
      <c r="TZ15" s="381"/>
      <c r="UA15" s="381"/>
      <c r="UB15" s="381"/>
      <c r="UC15" s="381"/>
      <c r="UD15" s="381"/>
      <c r="UE15" s="381"/>
      <c r="UF15" s="381"/>
      <c r="UG15" s="381"/>
      <c r="UH15" s="381"/>
      <c r="UI15" s="381"/>
      <c r="UJ15" s="381"/>
      <c r="UK15" s="381"/>
      <c r="UL15" s="381"/>
      <c r="UM15" s="381"/>
      <c r="UN15" s="381"/>
      <c r="UO15" s="381"/>
      <c r="UP15" s="381"/>
      <c r="UQ15" s="381"/>
      <c r="UR15" s="381"/>
      <c r="US15" s="381"/>
      <c r="UT15" s="381"/>
      <c r="UU15" s="381"/>
      <c r="UV15" s="381"/>
      <c r="UW15" s="381"/>
      <c r="UX15" s="381"/>
      <c r="UY15" s="381"/>
      <c r="UZ15" s="381"/>
      <c r="VA15" s="381"/>
      <c r="VB15" s="381"/>
      <c r="VC15" s="381"/>
      <c r="VD15" s="381"/>
      <c r="VE15" s="381"/>
      <c r="VF15" s="381"/>
      <c r="VG15" s="381"/>
      <c r="VH15" s="381"/>
      <c r="VI15" s="381"/>
      <c r="VJ15" s="381"/>
      <c r="VK15" s="381"/>
      <c r="VL15" s="381"/>
      <c r="VM15" s="381"/>
      <c r="VN15" s="381"/>
      <c r="VO15" s="381"/>
      <c r="VP15" s="381"/>
      <c r="VQ15" s="381"/>
      <c r="VR15" s="381"/>
      <c r="VS15" s="381"/>
      <c r="VT15" s="381"/>
      <c r="VU15" s="381"/>
      <c r="VV15" s="381"/>
      <c r="VW15" s="381"/>
      <c r="VX15" s="381"/>
      <c r="VY15" s="381"/>
      <c r="VZ15" s="381"/>
      <c r="WA15" s="381"/>
      <c r="WB15" s="381"/>
      <c r="WC15" s="381"/>
      <c r="WD15" s="381"/>
      <c r="WE15" s="381"/>
      <c r="WF15" s="381"/>
      <c r="WG15" s="381"/>
      <c r="WH15" s="381"/>
      <c r="WI15" s="381"/>
      <c r="WJ15" s="381"/>
      <c r="WK15" s="381"/>
      <c r="WL15" s="381"/>
      <c r="WM15" s="381"/>
      <c r="WN15" s="381"/>
      <c r="WO15" s="381"/>
      <c r="WP15" s="381"/>
      <c r="WQ15" s="381"/>
      <c r="WR15" s="381"/>
      <c r="WS15" s="381"/>
      <c r="WT15" s="381"/>
      <c r="WU15" s="381"/>
      <c r="WV15" s="381"/>
      <c r="WW15" s="381"/>
      <c r="WX15" s="381"/>
      <c r="WY15" s="381"/>
      <c r="WZ15" s="381"/>
      <c r="XA15" s="381"/>
      <c r="XB15" s="381"/>
      <c r="XC15" s="381"/>
      <c r="XD15" s="381"/>
      <c r="XE15" s="381"/>
      <c r="XF15" s="381"/>
      <c r="XG15" s="381"/>
      <c r="XH15" s="381"/>
      <c r="XI15" s="381"/>
      <c r="XJ15" s="381"/>
      <c r="XK15" s="381"/>
      <c r="XL15" s="381"/>
      <c r="XM15" s="381"/>
      <c r="XN15" s="381"/>
      <c r="XO15" s="381"/>
      <c r="XP15" s="381"/>
      <c r="XQ15" s="381"/>
      <c r="XR15" s="381"/>
      <c r="XS15" s="381"/>
      <c r="XT15" s="381"/>
      <c r="XU15" s="381"/>
      <c r="XV15" s="381"/>
      <c r="XW15" s="381"/>
      <c r="XX15" s="381"/>
      <c r="XY15" s="381"/>
      <c r="XZ15" s="381"/>
      <c r="YA15" s="381"/>
      <c r="YB15" s="381"/>
      <c r="YC15" s="381"/>
      <c r="YD15" s="381"/>
      <c r="YE15" s="381"/>
      <c r="YF15" s="381"/>
      <c r="YG15" s="381"/>
      <c r="YH15" s="381"/>
      <c r="YI15" s="381"/>
      <c r="YJ15" s="381"/>
      <c r="YK15" s="381"/>
      <c r="YL15" s="381"/>
      <c r="YM15" s="381"/>
      <c r="YN15" s="381"/>
      <c r="YO15" s="381"/>
      <c r="YP15" s="381"/>
      <c r="YQ15" s="381"/>
      <c r="YR15" s="381"/>
      <c r="YS15" s="381"/>
      <c r="YT15" s="381"/>
      <c r="YU15" s="381"/>
      <c r="YV15" s="381"/>
      <c r="YW15" s="381"/>
      <c r="YX15" s="381"/>
      <c r="YY15" s="381"/>
      <c r="YZ15" s="381"/>
      <c r="ZA15" s="381"/>
      <c r="ZB15" s="381"/>
      <c r="ZC15" s="381"/>
      <c r="ZD15" s="381"/>
      <c r="ZE15" s="381"/>
      <c r="ZF15" s="381"/>
      <c r="ZG15" s="381"/>
      <c r="ZH15" s="381"/>
      <c r="ZI15" s="381"/>
      <c r="ZJ15" s="381"/>
      <c r="ZK15" s="381"/>
      <c r="ZL15" s="381"/>
      <c r="ZM15" s="381"/>
      <c r="ZN15" s="381"/>
      <c r="ZO15" s="381"/>
      <c r="ZP15" s="381"/>
      <c r="ZQ15" s="381"/>
      <c r="ZR15" s="381"/>
      <c r="ZS15" s="381"/>
      <c r="ZT15" s="381"/>
      <c r="ZU15" s="381"/>
      <c r="ZV15" s="381"/>
      <c r="ZW15" s="381"/>
      <c r="ZX15" s="381"/>
      <c r="ZY15" s="381"/>
      <c r="ZZ15" s="381"/>
      <c r="AAA15" s="381"/>
      <c r="AAB15" s="381"/>
      <c r="AAC15" s="381"/>
      <c r="AAD15" s="381"/>
      <c r="AAE15" s="381"/>
      <c r="AAF15" s="381"/>
      <c r="AAG15" s="381"/>
      <c r="AAH15" s="381"/>
      <c r="AAI15" s="381"/>
      <c r="AAJ15" s="381"/>
      <c r="AAK15" s="381"/>
      <c r="AAL15" s="381"/>
      <c r="AAM15" s="381"/>
      <c r="AAN15" s="381"/>
      <c r="AAO15" s="381"/>
      <c r="AAP15" s="381"/>
      <c r="AAQ15" s="381"/>
      <c r="AAR15" s="381"/>
      <c r="AAS15" s="381"/>
      <c r="AAT15" s="381"/>
      <c r="AAU15" s="381"/>
      <c r="AAV15" s="381"/>
      <c r="AAW15" s="381"/>
      <c r="AAX15" s="381"/>
      <c r="AAY15" s="381"/>
      <c r="AAZ15" s="381"/>
      <c r="ABA15" s="381"/>
      <c r="ABB15" s="381"/>
      <c r="ABC15" s="381"/>
      <c r="ABD15" s="381"/>
      <c r="ABE15" s="381"/>
      <c r="ABF15" s="381"/>
      <c r="ABG15" s="381"/>
      <c r="ABH15" s="381"/>
      <c r="ABI15" s="381"/>
      <c r="ABJ15" s="381"/>
      <c r="ABK15" s="381"/>
      <c r="ABL15" s="381"/>
      <c r="ABM15" s="381"/>
      <c r="ABN15" s="381"/>
      <c r="ABO15" s="381"/>
      <c r="ABP15" s="381"/>
      <c r="ABQ15" s="381"/>
      <c r="ABR15" s="381"/>
      <c r="ABS15" s="381"/>
      <c r="ABT15" s="381"/>
      <c r="ABU15" s="381"/>
      <c r="ABV15" s="381"/>
      <c r="ABW15" s="381"/>
      <c r="ABX15" s="381"/>
      <c r="ABY15" s="381"/>
      <c r="ABZ15" s="381"/>
      <c r="ACA15" s="381"/>
      <c r="ACB15" s="381"/>
      <c r="ACC15" s="381"/>
      <c r="ACD15" s="381"/>
      <c r="ACE15" s="381"/>
      <c r="ACF15" s="381"/>
      <c r="ACG15" s="381"/>
      <c r="ACH15" s="381"/>
      <c r="ACI15" s="381"/>
      <c r="ACJ15" s="381"/>
      <c r="ACK15" s="381"/>
      <c r="ACL15" s="381"/>
      <c r="ACM15" s="381"/>
      <c r="ACN15" s="381"/>
      <c r="ACO15" s="381"/>
      <c r="ACP15" s="381"/>
      <c r="ACQ15" s="381"/>
      <c r="ACR15" s="381"/>
      <c r="ACS15" s="381"/>
      <c r="ACT15" s="381"/>
      <c r="ACU15" s="381"/>
      <c r="ACV15" s="381"/>
      <c r="ACW15" s="381"/>
      <c r="ACX15" s="381"/>
      <c r="ACY15" s="381"/>
      <c r="ACZ15" s="381"/>
      <c r="ADA15" s="381"/>
      <c r="ADB15" s="381"/>
      <c r="ADC15" s="381"/>
      <c r="ADD15" s="381"/>
      <c r="ADE15" s="381"/>
      <c r="ADF15" s="381"/>
      <c r="ADG15" s="381"/>
      <c r="ADH15" s="381"/>
      <c r="ADI15" s="381"/>
      <c r="ADJ15" s="381"/>
      <c r="ADK15" s="381"/>
      <c r="ADL15" s="381"/>
      <c r="ADM15" s="381"/>
      <c r="ADN15" s="381"/>
      <c r="ADO15" s="381"/>
      <c r="ADP15" s="381"/>
      <c r="ADQ15" s="381"/>
      <c r="ADR15" s="381"/>
      <c r="ADS15" s="381"/>
      <c r="ADT15" s="381"/>
      <c r="ADU15" s="381"/>
      <c r="ADV15" s="381"/>
      <c r="ADW15" s="381"/>
      <c r="ADX15" s="381"/>
      <c r="ADY15" s="381"/>
      <c r="ADZ15" s="381"/>
      <c r="AEA15" s="381"/>
      <c r="AEB15" s="381"/>
      <c r="AEC15" s="381"/>
      <c r="AED15" s="381"/>
      <c r="AEE15" s="381"/>
      <c r="AEF15" s="381"/>
      <c r="AEG15" s="381"/>
      <c r="AEH15" s="381"/>
      <c r="AEI15" s="381"/>
      <c r="AEJ15" s="381"/>
      <c r="AEK15" s="381"/>
      <c r="AEL15" s="381"/>
      <c r="AEM15" s="381"/>
      <c r="AEN15" s="381"/>
      <c r="AEO15" s="381"/>
      <c r="AEP15" s="381"/>
      <c r="AEQ15" s="381"/>
      <c r="AER15" s="381"/>
      <c r="AES15" s="381"/>
      <c r="AET15" s="381"/>
      <c r="AEU15" s="381"/>
      <c r="AEV15" s="381"/>
      <c r="AEW15" s="381"/>
      <c r="AEX15" s="381"/>
      <c r="AEY15" s="381"/>
      <c r="AEZ15" s="381"/>
      <c r="AFA15" s="381"/>
      <c r="AFB15" s="381"/>
      <c r="AFC15" s="381"/>
      <c r="AFD15" s="381"/>
      <c r="AFE15" s="381"/>
      <c r="AFF15" s="381"/>
      <c r="AFG15" s="381"/>
      <c r="AFH15" s="381"/>
      <c r="AFI15" s="381"/>
      <c r="AFJ15" s="381"/>
      <c r="AFK15" s="381"/>
      <c r="AFL15" s="381"/>
      <c r="AFM15" s="381"/>
      <c r="AFN15" s="381"/>
      <c r="AFO15" s="381"/>
      <c r="AFP15" s="381"/>
      <c r="AFQ15" s="381"/>
      <c r="AFR15" s="381"/>
      <c r="AFS15" s="381"/>
      <c r="AFT15" s="381"/>
      <c r="AFU15" s="381"/>
      <c r="AFV15" s="381"/>
      <c r="AFW15" s="381"/>
      <c r="AFX15" s="381"/>
      <c r="AFY15" s="381"/>
      <c r="AFZ15" s="381"/>
      <c r="AGA15" s="381"/>
      <c r="AGB15" s="381"/>
      <c r="AGC15" s="381"/>
      <c r="AGD15" s="381"/>
      <c r="AGE15" s="381"/>
      <c r="AGF15" s="381"/>
      <c r="AGG15" s="381"/>
      <c r="AGH15" s="381"/>
      <c r="AGI15" s="381"/>
      <c r="AGJ15" s="381"/>
      <c r="AGK15" s="381"/>
      <c r="AGL15" s="381"/>
      <c r="AGM15" s="381"/>
      <c r="AGN15" s="381"/>
      <c r="AGO15" s="381"/>
      <c r="AGP15" s="381"/>
      <c r="AGQ15" s="381"/>
      <c r="AGR15" s="381"/>
      <c r="AGS15" s="381"/>
      <c r="AGT15" s="381"/>
      <c r="AGU15" s="381"/>
      <c r="AGV15" s="381"/>
      <c r="AGW15" s="381"/>
      <c r="AGX15" s="381"/>
      <c r="AGY15" s="381"/>
      <c r="AGZ15" s="381"/>
      <c r="AHA15" s="381"/>
      <c r="AHB15" s="381"/>
      <c r="AHC15" s="381"/>
      <c r="AHD15" s="381"/>
      <c r="AHE15" s="381"/>
      <c r="AHF15" s="381"/>
      <c r="AHG15" s="381"/>
      <c r="AHH15" s="381"/>
      <c r="AHI15" s="381"/>
      <c r="AHJ15" s="381"/>
      <c r="AHK15" s="381"/>
      <c r="AHL15" s="381"/>
      <c r="AHM15" s="381"/>
      <c r="AHN15" s="381"/>
      <c r="AHO15" s="381"/>
      <c r="AHP15" s="381"/>
      <c r="AHQ15" s="381"/>
      <c r="AHR15" s="381"/>
      <c r="AHS15" s="381"/>
      <c r="AHT15" s="381"/>
      <c r="AHU15" s="381"/>
      <c r="AHV15" s="381"/>
      <c r="AHW15" s="381"/>
      <c r="AHX15" s="381"/>
      <c r="AHY15" s="381"/>
      <c r="AHZ15" s="381"/>
      <c r="AIA15" s="381"/>
      <c r="AIB15" s="381"/>
      <c r="AIC15" s="381"/>
      <c r="AID15" s="381"/>
      <c r="AIE15" s="381"/>
      <c r="AIF15" s="381"/>
      <c r="AIG15" s="381"/>
      <c r="AIH15" s="381"/>
      <c r="AII15" s="381"/>
      <c r="AIJ15" s="381"/>
      <c r="AIK15" s="381"/>
      <c r="AIL15" s="381"/>
      <c r="AIM15" s="381"/>
      <c r="AIN15" s="381"/>
      <c r="AIO15" s="381"/>
      <c r="AIP15" s="381"/>
      <c r="AIQ15" s="381"/>
      <c r="AIR15" s="381"/>
      <c r="AIS15" s="381"/>
      <c r="AIT15" s="381"/>
      <c r="AIU15" s="381"/>
      <c r="AIV15" s="381"/>
      <c r="AIW15" s="381"/>
      <c r="AIX15" s="381"/>
      <c r="AIY15" s="381"/>
      <c r="AIZ15" s="381"/>
      <c r="AJA15" s="381"/>
      <c r="AJB15" s="381"/>
      <c r="AJC15" s="381"/>
      <c r="AJD15" s="381"/>
      <c r="AJE15" s="381"/>
      <c r="AJF15" s="381"/>
      <c r="AJG15" s="381"/>
      <c r="AJH15" s="381"/>
      <c r="AJI15" s="381"/>
      <c r="AJJ15" s="381"/>
      <c r="AJK15" s="381"/>
      <c r="AJL15" s="381"/>
      <c r="AJM15" s="381"/>
      <c r="AJN15" s="381"/>
      <c r="AJO15" s="381"/>
      <c r="AJP15" s="381"/>
      <c r="AJQ15" s="381"/>
      <c r="AJR15" s="381"/>
      <c r="AJS15" s="381"/>
      <c r="AJT15" s="381"/>
      <c r="AJU15" s="381"/>
      <c r="AJV15" s="381"/>
      <c r="AJW15" s="381"/>
      <c r="AJX15" s="381"/>
      <c r="AJY15" s="381"/>
      <c r="AJZ15" s="381"/>
      <c r="AKA15" s="381"/>
      <c r="AKB15" s="381"/>
      <c r="AKC15" s="381"/>
      <c r="AKD15" s="381"/>
      <c r="AKE15" s="381"/>
      <c r="AKF15" s="381"/>
      <c r="AKG15" s="381"/>
      <c r="AKH15" s="381"/>
      <c r="AKI15" s="381"/>
      <c r="AKJ15" s="381"/>
      <c r="AKK15" s="381"/>
      <c r="AKL15" s="381"/>
      <c r="AKM15" s="381"/>
      <c r="AKN15" s="381"/>
      <c r="AKO15" s="381"/>
      <c r="AKP15" s="381"/>
      <c r="AKQ15" s="381"/>
      <c r="AKR15" s="381"/>
      <c r="AKS15" s="381"/>
      <c r="AKT15" s="381"/>
      <c r="AKU15" s="381"/>
      <c r="AKV15" s="381"/>
      <c r="AKW15" s="381"/>
      <c r="AKX15" s="381"/>
      <c r="AKY15" s="381"/>
      <c r="AKZ15" s="381"/>
      <c r="ALA15" s="381"/>
      <c r="ALB15" s="381"/>
      <c r="ALC15" s="381"/>
    </row>
    <row r="16" spans="1:991" s="400" customFormat="1" ht="117" thickBot="1" x14ac:dyDescent="0.3">
      <c r="A16" s="381"/>
      <c r="B16" s="360"/>
      <c r="C16" s="361" t="e">
        <f>J16-#REF!</f>
        <v>#REF!</v>
      </c>
      <c r="D16" s="362" t="s">
        <v>448</v>
      </c>
      <c r="E16" s="382"/>
      <c r="F16" s="383"/>
      <c r="G16" s="384"/>
      <c r="H16" s="385" t="s">
        <v>112</v>
      </c>
      <c r="I16" s="386" t="s">
        <v>449</v>
      </c>
      <c r="J16" s="387">
        <v>500000</v>
      </c>
      <c r="K16" s="388">
        <f>374284.58+814.66</f>
        <v>375099.24</v>
      </c>
      <c r="L16" s="389">
        <v>124900.76</v>
      </c>
      <c r="M16" s="390">
        <v>0</v>
      </c>
      <c r="N16" s="390">
        <v>0</v>
      </c>
      <c r="O16" s="391">
        <v>0</v>
      </c>
      <c r="P16" s="389"/>
      <c r="Q16" s="390"/>
      <c r="R16" s="390"/>
      <c r="S16" s="391">
        <v>500000</v>
      </c>
      <c r="T16" s="393"/>
      <c r="U16" s="389"/>
      <c r="V16" s="390"/>
      <c r="W16" s="390"/>
      <c r="X16" s="390"/>
      <c r="Y16" s="390"/>
      <c r="Z16" s="390">
        <v>500000</v>
      </c>
      <c r="AA16" s="390"/>
      <c r="AB16" s="392"/>
      <c r="AC16" s="392"/>
      <c r="AD16" s="392"/>
      <c r="AE16" s="392"/>
      <c r="AF16" s="390"/>
      <c r="AG16" s="392"/>
      <c r="AH16" s="394"/>
      <c r="AI16" s="393"/>
      <c r="AJ16" s="389"/>
      <c r="AK16" s="390"/>
      <c r="AL16" s="395"/>
      <c r="AM16" s="376">
        <v>0</v>
      </c>
      <c r="AN16" s="395"/>
      <c r="AO16" s="376">
        <v>0</v>
      </c>
      <c r="AP16" s="396"/>
      <c r="AQ16" s="390"/>
      <c r="AR16" s="390"/>
      <c r="AS16" s="390">
        <v>0</v>
      </c>
      <c r="AT16" s="392"/>
      <c r="AU16" s="392"/>
      <c r="AV16" s="390"/>
      <c r="AW16" s="392"/>
      <c r="AX16" s="393"/>
      <c r="AY16" s="389"/>
      <c r="AZ16" s="397"/>
      <c r="BA16" s="398"/>
      <c r="BB16" s="399" t="s">
        <v>450</v>
      </c>
      <c r="BC16" s="381"/>
      <c r="BD16" s="381"/>
      <c r="BE16" s="381"/>
      <c r="BF16" s="381"/>
      <c r="BG16" s="381"/>
      <c r="BH16" s="381"/>
      <c r="BI16" s="381"/>
      <c r="BJ16" s="381"/>
      <c r="BK16" s="381"/>
      <c r="BL16" s="381"/>
      <c r="BM16" s="381"/>
      <c r="BN16" s="381"/>
      <c r="BO16" s="381"/>
      <c r="BP16" s="381"/>
      <c r="BQ16" s="381"/>
      <c r="BR16" s="381"/>
      <c r="BS16" s="381"/>
      <c r="BT16" s="381"/>
      <c r="BU16" s="381"/>
      <c r="BV16" s="381"/>
      <c r="BW16" s="381"/>
      <c r="BX16" s="381"/>
      <c r="BY16" s="381"/>
      <c r="BZ16" s="381"/>
      <c r="CA16" s="381"/>
      <c r="CB16" s="381"/>
      <c r="CC16" s="381"/>
      <c r="CD16" s="381"/>
      <c r="CE16" s="381"/>
      <c r="CF16" s="381"/>
      <c r="CG16" s="381"/>
      <c r="CH16" s="381"/>
      <c r="CI16" s="381"/>
      <c r="CJ16" s="381"/>
      <c r="CK16" s="381"/>
      <c r="CL16" s="381"/>
      <c r="CM16" s="381"/>
      <c r="CN16" s="381"/>
      <c r="CO16" s="381"/>
      <c r="CP16" s="381"/>
      <c r="CQ16" s="381"/>
      <c r="CR16" s="381"/>
      <c r="CS16" s="381"/>
      <c r="CT16" s="381"/>
      <c r="CU16" s="381"/>
      <c r="CV16" s="381"/>
      <c r="CW16" s="381"/>
      <c r="CX16" s="381"/>
      <c r="CY16" s="381"/>
      <c r="CZ16" s="381"/>
      <c r="DA16" s="381"/>
      <c r="DB16" s="381"/>
      <c r="DC16" s="381"/>
      <c r="DD16" s="381"/>
      <c r="DE16" s="381"/>
      <c r="DF16" s="381"/>
      <c r="DG16" s="381"/>
      <c r="DH16" s="381"/>
      <c r="DI16" s="381"/>
      <c r="DJ16" s="381"/>
      <c r="DK16" s="381"/>
      <c r="DL16" s="381"/>
      <c r="DM16" s="381"/>
      <c r="DN16" s="381"/>
      <c r="DO16" s="381"/>
      <c r="DP16" s="381"/>
      <c r="DQ16" s="381"/>
      <c r="DR16" s="381"/>
      <c r="DS16" s="381"/>
      <c r="DT16" s="381"/>
      <c r="DU16" s="381"/>
      <c r="DV16" s="381"/>
      <c r="DW16" s="381"/>
      <c r="DX16" s="381"/>
      <c r="DY16" s="381"/>
      <c r="DZ16" s="381"/>
      <c r="EA16" s="381"/>
      <c r="EB16" s="381"/>
      <c r="EC16" s="381"/>
      <c r="ED16" s="381"/>
      <c r="EE16" s="381"/>
      <c r="EF16" s="381"/>
      <c r="EG16" s="381"/>
      <c r="EH16" s="381"/>
      <c r="EI16" s="381"/>
      <c r="EJ16" s="381"/>
      <c r="EK16" s="381"/>
      <c r="EL16" s="381"/>
      <c r="EM16" s="381"/>
      <c r="EN16" s="381"/>
      <c r="EO16" s="381"/>
      <c r="EP16" s="381"/>
      <c r="EQ16" s="381"/>
      <c r="ER16" s="381"/>
      <c r="ES16" s="381"/>
      <c r="ET16" s="381"/>
      <c r="EU16" s="381"/>
      <c r="EV16" s="381"/>
      <c r="EW16" s="381"/>
      <c r="EX16" s="381"/>
      <c r="EY16" s="381"/>
      <c r="EZ16" s="381"/>
      <c r="FA16" s="381"/>
      <c r="FB16" s="381"/>
      <c r="FC16" s="381"/>
      <c r="FD16" s="381"/>
      <c r="FE16" s="381"/>
      <c r="FF16" s="381"/>
      <c r="FG16" s="381"/>
      <c r="FH16" s="381"/>
      <c r="FI16" s="381"/>
      <c r="FJ16" s="381"/>
      <c r="FK16" s="381"/>
      <c r="FL16" s="381"/>
      <c r="FM16" s="381"/>
      <c r="FN16" s="381"/>
      <c r="FO16" s="381"/>
      <c r="FP16" s="381"/>
      <c r="FQ16" s="381"/>
      <c r="FR16" s="381"/>
      <c r="FS16" s="381"/>
      <c r="FT16" s="381"/>
      <c r="FU16" s="381"/>
      <c r="FV16" s="381"/>
      <c r="FW16" s="381"/>
      <c r="FX16" s="381"/>
      <c r="FY16" s="381"/>
      <c r="FZ16" s="381"/>
      <c r="GA16" s="381"/>
      <c r="GB16" s="381"/>
      <c r="GC16" s="381"/>
      <c r="GD16" s="381"/>
      <c r="GE16" s="381"/>
      <c r="GF16" s="381"/>
      <c r="GG16" s="381"/>
      <c r="GH16" s="381"/>
      <c r="GI16" s="381"/>
      <c r="GJ16" s="381"/>
      <c r="GK16" s="381"/>
      <c r="GL16" s="381"/>
      <c r="GM16" s="381"/>
      <c r="GN16" s="381"/>
      <c r="GO16" s="381"/>
      <c r="GP16" s="381"/>
      <c r="GQ16" s="381"/>
      <c r="GR16" s="381"/>
      <c r="GS16" s="381"/>
      <c r="GT16" s="381"/>
      <c r="GU16" s="381"/>
      <c r="GV16" s="381"/>
      <c r="GW16" s="381"/>
      <c r="GX16" s="381"/>
      <c r="GY16" s="381"/>
      <c r="GZ16" s="381"/>
      <c r="HA16" s="381"/>
      <c r="HB16" s="381"/>
      <c r="HC16" s="381"/>
      <c r="HD16" s="381"/>
      <c r="HE16" s="381"/>
      <c r="HF16" s="381"/>
      <c r="HG16" s="381"/>
      <c r="HH16" s="381"/>
      <c r="HI16" s="381"/>
      <c r="HJ16" s="381"/>
      <c r="HK16" s="381"/>
      <c r="HL16" s="381"/>
      <c r="HM16" s="381"/>
      <c r="HN16" s="381"/>
      <c r="HO16" s="381"/>
      <c r="HP16" s="381"/>
      <c r="HQ16" s="381"/>
      <c r="HR16" s="381"/>
      <c r="HS16" s="381"/>
      <c r="HT16" s="381"/>
      <c r="HU16" s="381"/>
      <c r="HV16" s="381"/>
      <c r="HW16" s="381"/>
      <c r="HX16" s="381"/>
      <c r="HY16" s="381"/>
      <c r="HZ16" s="381"/>
      <c r="IA16" s="381"/>
      <c r="IB16" s="381"/>
      <c r="IC16" s="381"/>
      <c r="ID16" s="381"/>
      <c r="IE16" s="381"/>
      <c r="IF16" s="381"/>
      <c r="IG16" s="381"/>
      <c r="IH16" s="381"/>
      <c r="II16" s="381"/>
      <c r="IJ16" s="381"/>
      <c r="IK16" s="381"/>
      <c r="IL16" s="381"/>
      <c r="IM16" s="381"/>
      <c r="IN16" s="381"/>
      <c r="IO16" s="381"/>
      <c r="IP16" s="381"/>
      <c r="IQ16" s="381"/>
      <c r="IR16" s="381"/>
      <c r="IS16" s="381"/>
      <c r="IT16" s="381"/>
      <c r="IU16" s="381"/>
      <c r="IV16" s="381"/>
      <c r="IW16" s="381"/>
      <c r="IX16" s="381"/>
      <c r="IY16" s="381"/>
      <c r="IZ16" s="381"/>
      <c r="JA16" s="381"/>
      <c r="JB16" s="381"/>
      <c r="JC16" s="381"/>
      <c r="JD16" s="381"/>
      <c r="JE16" s="381"/>
      <c r="JF16" s="381"/>
      <c r="JG16" s="381"/>
      <c r="JH16" s="381"/>
      <c r="JI16" s="381"/>
      <c r="JJ16" s="381"/>
      <c r="JK16" s="381"/>
      <c r="JL16" s="381"/>
      <c r="JM16" s="381"/>
      <c r="JN16" s="381"/>
      <c r="JO16" s="381"/>
      <c r="JP16" s="381"/>
      <c r="JQ16" s="381"/>
      <c r="JR16" s="381"/>
      <c r="JS16" s="381"/>
      <c r="JT16" s="381"/>
      <c r="JU16" s="381"/>
      <c r="JV16" s="381"/>
      <c r="JW16" s="381"/>
      <c r="JX16" s="381"/>
      <c r="JY16" s="381"/>
      <c r="JZ16" s="381"/>
      <c r="KA16" s="381"/>
      <c r="KB16" s="381"/>
      <c r="KC16" s="381"/>
      <c r="KD16" s="381"/>
      <c r="KE16" s="381"/>
      <c r="KF16" s="381"/>
      <c r="KG16" s="381"/>
      <c r="KH16" s="381"/>
      <c r="KI16" s="381"/>
      <c r="KJ16" s="381"/>
      <c r="KK16" s="381"/>
      <c r="KL16" s="381"/>
      <c r="KM16" s="381"/>
      <c r="KN16" s="381"/>
      <c r="KO16" s="381"/>
      <c r="KP16" s="381"/>
      <c r="KQ16" s="381"/>
      <c r="KR16" s="381"/>
      <c r="KS16" s="381"/>
      <c r="KT16" s="381"/>
      <c r="KU16" s="381"/>
      <c r="KV16" s="381"/>
      <c r="KW16" s="381"/>
      <c r="KX16" s="381"/>
      <c r="KY16" s="381"/>
      <c r="KZ16" s="381"/>
      <c r="LA16" s="381"/>
      <c r="LB16" s="381"/>
      <c r="LC16" s="381"/>
      <c r="LD16" s="381"/>
      <c r="LE16" s="381"/>
      <c r="LF16" s="381"/>
      <c r="LG16" s="381"/>
      <c r="LH16" s="381"/>
      <c r="LI16" s="381"/>
      <c r="LJ16" s="381"/>
      <c r="LK16" s="381"/>
      <c r="LL16" s="381"/>
      <c r="LM16" s="381"/>
      <c r="LN16" s="381"/>
      <c r="LO16" s="381"/>
      <c r="LP16" s="381"/>
      <c r="LQ16" s="381"/>
      <c r="LR16" s="381"/>
      <c r="LS16" s="381"/>
      <c r="LT16" s="381"/>
      <c r="LU16" s="381"/>
      <c r="LV16" s="381"/>
      <c r="LW16" s="381"/>
      <c r="LX16" s="381"/>
      <c r="LY16" s="381"/>
      <c r="LZ16" s="381"/>
      <c r="MA16" s="381"/>
      <c r="MB16" s="381"/>
      <c r="MC16" s="381"/>
      <c r="MD16" s="381"/>
      <c r="ME16" s="381"/>
      <c r="MF16" s="381"/>
      <c r="MG16" s="381"/>
      <c r="MH16" s="381"/>
      <c r="MI16" s="381"/>
      <c r="MJ16" s="381"/>
      <c r="MK16" s="381"/>
      <c r="ML16" s="381"/>
      <c r="MM16" s="381"/>
      <c r="MN16" s="381"/>
      <c r="MO16" s="381"/>
      <c r="MP16" s="381"/>
      <c r="MQ16" s="381"/>
      <c r="MR16" s="381"/>
      <c r="MS16" s="381"/>
      <c r="MT16" s="381"/>
      <c r="MU16" s="381"/>
      <c r="MV16" s="381"/>
      <c r="MW16" s="381"/>
      <c r="MX16" s="381"/>
      <c r="MY16" s="381"/>
      <c r="MZ16" s="381"/>
      <c r="NA16" s="381"/>
      <c r="NB16" s="381"/>
      <c r="NC16" s="381"/>
      <c r="ND16" s="381"/>
      <c r="NE16" s="381"/>
      <c r="NF16" s="381"/>
      <c r="NG16" s="381"/>
      <c r="NH16" s="381"/>
      <c r="NI16" s="381"/>
      <c r="NJ16" s="381"/>
      <c r="NK16" s="381"/>
      <c r="NL16" s="381"/>
      <c r="NM16" s="381"/>
      <c r="NN16" s="381"/>
      <c r="NO16" s="381"/>
      <c r="NP16" s="381"/>
      <c r="NQ16" s="381"/>
      <c r="NR16" s="381"/>
      <c r="NS16" s="381"/>
      <c r="NT16" s="381"/>
      <c r="NU16" s="381"/>
      <c r="NV16" s="381"/>
      <c r="NW16" s="381"/>
      <c r="NX16" s="381"/>
      <c r="NY16" s="381"/>
      <c r="NZ16" s="381"/>
      <c r="OA16" s="381"/>
      <c r="OB16" s="381"/>
      <c r="OC16" s="381"/>
      <c r="OD16" s="381"/>
      <c r="OE16" s="381"/>
      <c r="OF16" s="381"/>
      <c r="OG16" s="381"/>
      <c r="OH16" s="381"/>
      <c r="OI16" s="381"/>
      <c r="OJ16" s="381"/>
      <c r="OK16" s="381"/>
      <c r="OL16" s="381"/>
      <c r="OM16" s="381"/>
      <c r="ON16" s="381"/>
      <c r="OO16" s="381"/>
      <c r="OP16" s="381"/>
      <c r="OQ16" s="381"/>
      <c r="OR16" s="381"/>
      <c r="OS16" s="381"/>
      <c r="OT16" s="381"/>
      <c r="OU16" s="381"/>
      <c r="OV16" s="381"/>
      <c r="OW16" s="381"/>
      <c r="OX16" s="381"/>
      <c r="OY16" s="381"/>
      <c r="OZ16" s="381"/>
      <c r="PA16" s="381"/>
      <c r="PB16" s="381"/>
      <c r="PC16" s="381"/>
      <c r="PD16" s="381"/>
      <c r="PE16" s="381"/>
      <c r="PF16" s="381"/>
      <c r="PG16" s="381"/>
      <c r="PH16" s="381"/>
      <c r="PI16" s="381"/>
      <c r="PJ16" s="381"/>
      <c r="PK16" s="381"/>
      <c r="PL16" s="381"/>
      <c r="PM16" s="381"/>
      <c r="PN16" s="381"/>
      <c r="PO16" s="381"/>
      <c r="PP16" s="381"/>
      <c r="PQ16" s="381"/>
      <c r="PR16" s="381"/>
      <c r="PS16" s="381"/>
      <c r="PT16" s="381"/>
      <c r="PU16" s="381"/>
      <c r="PV16" s="381"/>
      <c r="PW16" s="381"/>
      <c r="PX16" s="381"/>
      <c r="PY16" s="381"/>
      <c r="PZ16" s="381"/>
      <c r="QA16" s="381"/>
      <c r="QB16" s="381"/>
      <c r="QC16" s="381"/>
      <c r="QD16" s="381"/>
      <c r="QE16" s="381"/>
      <c r="QF16" s="381"/>
      <c r="QG16" s="381"/>
      <c r="QH16" s="381"/>
      <c r="QI16" s="381"/>
      <c r="QJ16" s="381"/>
      <c r="QK16" s="381"/>
      <c r="QL16" s="381"/>
      <c r="QM16" s="381"/>
      <c r="QN16" s="381"/>
      <c r="QO16" s="381"/>
      <c r="QP16" s="381"/>
      <c r="QQ16" s="381"/>
      <c r="QR16" s="381"/>
      <c r="QS16" s="381"/>
      <c r="QT16" s="381"/>
      <c r="QU16" s="381"/>
      <c r="QV16" s="381"/>
      <c r="QW16" s="381"/>
      <c r="QX16" s="381"/>
      <c r="QY16" s="381"/>
      <c r="QZ16" s="381"/>
      <c r="RA16" s="381"/>
      <c r="RB16" s="381"/>
      <c r="RC16" s="381"/>
      <c r="RD16" s="381"/>
      <c r="RE16" s="381"/>
      <c r="RF16" s="381"/>
      <c r="RG16" s="381"/>
      <c r="RH16" s="381"/>
      <c r="RI16" s="381"/>
      <c r="RJ16" s="381"/>
      <c r="RK16" s="381"/>
      <c r="RL16" s="381"/>
      <c r="RM16" s="381"/>
      <c r="RN16" s="381"/>
      <c r="RO16" s="381"/>
      <c r="RP16" s="381"/>
      <c r="RQ16" s="381"/>
      <c r="RR16" s="381"/>
      <c r="RS16" s="381"/>
      <c r="RT16" s="381"/>
      <c r="RU16" s="381"/>
      <c r="RV16" s="381"/>
      <c r="RW16" s="381"/>
      <c r="RX16" s="381"/>
      <c r="RY16" s="381"/>
      <c r="RZ16" s="381"/>
      <c r="SA16" s="381"/>
      <c r="SB16" s="381"/>
      <c r="SC16" s="381"/>
      <c r="SD16" s="381"/>
      <c r="SE16" s="381"/>
      <c r="SF16" s="381"/>
      <c r="SG16" s="381"/>
      <c r="SH16" s="381"/>
      <c r="SI16" s="381"/>
      <c r="SJ16" s="381"/>
      <c r="SK16" s="381"/>
      <c r="SL16" s="381"/>
      <c r="SM16" s="381"/>
      <c r="SN16" s="381"/>
      <c r="SO16" s="381"/>
      <c r="SP16" s="381"/>
      <c r="SQ16" s="381"/>
      <c r="SR16" s="381"/>
      <c r="SS16" s="381"/>
      <c r="ST16" s="381"/>
      <c r="SU16" s="381"/>
      <c r="SV16" s="381"/>
      <c r="SW16" s="381"/>
      <c r="SX16" s="381"/>
      <c r="SY16" s="381"/>
      <c r="SZ16" s="381"/>
      <c r="TA16" s="381"/>
      <c r="TB16" s="381"/>
      <c r="TC16" s="381"/>
      <c r="TD16" s="381"/>
      <c r="TE16" s="381"/>
      <c r="TF16" s="381"/>
      <c r="TG16" s="381"/>
      <c r="TH16" s="381"/>
      <c r="TI16" s="381"/>
      <c r="TJ16" s="381"/>
      <c r="TK16" s="381"/>
      <c r="TL16" s="381"/>
      <c r="TM16" s="381"/>
      <c r="TN16" s="381"/>
      <c r="TO16" s="381"/>
      <c r="TP16" s="381"/>
      <c r="TQ16" s="381"/>
      <c r="TR16" s="381"/>
      <c r="TS16" s="381"/>
      <c r="TT16" s="381"/>
      <c r="TU16" s="381"/>
      <c r="TV16" s="381"/>
      <c r="TW16" s="381"/>
      <c r="TX16" s="381"/>
      <c r="TY16" s="381"/>
      <c r="TZ16" s="381"/>
      <c r="UA16" s="381"/>
      <c r="UB16" s="381"/>
      <c r="UC16" s="381"/>
      <c r="UD16" s="381"/>
      <c r="UE16" s="381"/>
      <c r="UF16" s="381"/>
      <c r="UG16" s="381"/>
      <c r="UH16" s="381"/>
      <c r="UI16" s="381"/>
      <c r="UJ16" s="381"/>
      <c r="UK16" s="381"/>
      <c r="UL16" s="381"/>
      <c r="UM16" s="381"/>
      <c r="UN16" s="381"/>
      <c r="UO16" s="381"/>
      <c r="UP16" s="381"/>
      <c r="UQ16" s="381"/>
      <c r="UR16" s="381"/>
      <c r="US16" s="381"/>
      <c r="UT16" s="381"/>
      <c r="UU16" s="381"/>
      <c r="UV16" s="381"/>
      <c r="UW16" s="381"/>
      <c r="UX16" s="381"/>
      <c r="UY16" s="381"/>
      <c r="UZ16" s="381"/>
      <c r="VA16" s="381"/>
      <c r="VB16" s="381"/>
      <c r="VC16" s="381"/>
      <c r="VD16" s="381"/>
      <c r="VE16" s="381"/>
      <c r="VF16" s="381"/>
      <c r="VG16" s="381"/>
      <c r="VH16" s="381"/>
      <c r="VI16" s="381"/>
      <c r="VJ16" s="381"/>
      <c r="VK16" s="381"/>
      <c r="VL16" s="381"/>
      <c r="VM16" s="381"/>
      <c r="VN16" s="381"/>
      <c r="VO16" s="381"/>
      <c r="VP16" s="381"/>
      <c r="VQ16" s="381"/>
      <c r="VR16" s="381"/>
      <c r="VS16" s="381"/>
      <c r="VT16" s="381"/>
      <c r="VU16" s="381"/>
      <c r="VV16" s="381"/>
      <c r="VW16" s="381"/>
      <c r="VX16" s="381"/>
      <c r="VY16" s="381"/>
      <c r="VZ16" s="381"/>
      <c r="WA16" s="381"/>
      <c r="WB16" s="381"/>
      <c r="WC16" s="381"/>
      <c r="WD16" s="381"/>
      <c r="WE16" s="381"/>
      <c r="WF16" s="381"/>
      <c r="WG16" s="381"/>
      <c r="WH16" s="381"/>
      <c r="WI16" s="381"/>
      <c r="WJ16" s="381"/>
      <c r="WK16" s="381"/>
      <c r="WL16" s="381"/>
      <c r="WM16" s="381"/>
      <c r="WN16" s="381"/>
      <c r="WO16" s="381"/>
      <c r="WP16" s="381"/>
      <c r="WQ16" s="381"/>
      <c r="WR16" s="381"/>
      <c r="WS16" s="381"/>
      <c r="WT16" s="381"/>
      <c r="WU16" s="381"/>
      <c r="WV16" s="381"/>
      <c r="WW16" s="381"/>
      <c r="WX16" s="381"/>
      <c r="WY16" s="381"/>
      <c r="WZ16" s="381"/>
      <c r="XA16" s="381"/>
      <c r="XB16" s="381"/>
      <c r="XC16" s="381"/>
      <c r="XD16" s="381"/>
      <c r="XE16" s="381"/>
      <c r="XF16" s="381"/>
      <c r="XG16" s="381"/>
      <c r="XH16" s="381"/>
      <c r="XI16" s="381"/>
      <c r="XJ16" s="381"/>
      <c r="XK16" s="381"/>
      <c r="XL16" s="381"/>
      <c r="XM16" s="381"/>
      <c r="XN16" s="381"/>
      <c r="XO16" s="381"/>
      <c r="XP16" s="381"/>
      <c r="XQ16" s="381"/>
      <c r="XR16" s="381"/>
      <c r="XS16" s="381"/>
      <c r="XT16" s="381"/>
      <c r="XU16" s="381"/>
      <c r="XV16" s="381"/>
      <c r="XW16" s="381"/>
      <c r="XX16" s="381"/>
      <c r="XY16" s="381"/>
      <c r="XZ16" s="381"/>
      <c r="YA16" s="381"/>
      <c r="YB16" s="381"/>
      <c r="YC16" s="381"/>
      <c r="YD16" s="381"/>
      <c r="YE16" s="381"/>
      <c r="YF16" s="381"/>
      <c r="YG16" s="381"/>
      <c r="YH16" s="381"/>
      <c r="YI16" s="381"/>
      <c r="YJ16" s="381"/>
      <c r="YK16" s="381"/>
      <c r="YL16" s="381"/>
      <c r="YM16" s="381"/>
      <c r="YN16" s="381"/>
      <c r="YO16" s="381"/>
      <c r="YP16" s="381"/>
      <c r="YQ16" s="381"/>
      <c r="YR16" s="381"/>
      <c r="YS16" s="381"/>
      <c r="YT16" s="381"/>
      <c r="YU16" s="381"/>
      <c r="YV16" s="381"/>
      <c r="YW16" s="381"/>
      <c r="YX16" s="381"/>
      <c r="YY16" s="381"/>
      <c r="YZ16" s="381"/>
      <c r="ZA16" s="381"/>
      <c r="ZB16" s="381"/>
      <c r="ZC16" s="381"/>
      <c r="ZD16" s="381"/>
      <c r="ZE16" s="381"/>
      <c r="ZF16" s="381"/>
      <c r="ZG16" s="381"/>
      <c r="ZH16" s="381"/>
      <c r="ZI16" s="381"/>
      <c r="ZJ16" s="381"/>
      <c r="ZK16" s="381"/>
      <c r="ZL16" s="381"/>
      <c r="ZM16" s="381"/>
      <c r="ZN16" s="381"/>
      <c r="ZO16" s="381"/>
      <c r="ZP16" s="381"/>
      <c r="ZQ16" s="381"/>
      <c r="ZR16" s="381"/>
      <c r="ZS16" s="381"/>
      <c r="ZT16" s="381"/>
      <c r="ZU16" s="381"/>
      <c r="ZV16" s="381"/>
      <c r="ZW16" s="381"/>
      <c r="ZX16" s="381"/>
      <c r="ZY16" s="381"/>
      <c r="ZZ16" s="381"/>
      <c r="AAA16" s="381"/>
      <c r="AAB16" s="381"/>
      <c r="AAC16" s="381"/>
      <c r="AAD16" s="381"/>
      <c r="AAE16" s="381"/>
      <c r="AAF16" s="381"/>
      <c r="AAG16" s="381"/>
      <c r="AAH16" s="381"/>
      <c r="AAI16" s="381"/>
      <c r="AAJ16" s="381"/>
      <c r="AAK16" s="381"/>
      <c r="AAL16" s="381"/>
      <c r="AAM16" s="381"/>
      <c r="AAN16" s="381"/>
      <c r="AAO16" s="381"/>
      <c r="AAP16" s="381"/>
      <c r="AAQ16" s="381"/>
      <c r="AAR16" s="381"/>
      <c r="AAS16" s="381"/>
      <c r="AAT16" s="381"/>
      <c r="AAU16" s="381"/>
      <c r="AAV16" s="381"/>
      <c r="AAW16" s="381"/>
      <c r="AAX16" s="381"/>
      <c r="AAY16" s="381"/>
      <c r="AAZ16" s="381"/>
      <c r="ABA16" s="381"/>
      <c r="ABB16" s="381"/>
      <c r="ABC16" s="381"/>
      <c r="ABD16" s="381"/>
      <c r="ABE16" s="381"/>
      <c r="ABF16" s="381"/>
      <c r="ABG16" s="381"/>
      <c r="ABH16" s="381"/>
      <c r="ABI16" s="381"/>
      <c r="ABJ16" s="381"/>
      <c r="ABK16" s="381"/>
      <c r="ABL16" s="381"/>
      <c r="ABM16" s="381"/>
      <c r="ABN16" s="381"/>
      <c r="ABO16" s="381"/>
      <c r="ABP16" s="381"/>
      <c r="ABQ16" s="381"/>
      <c r="ABR16" s="381"/>
      <c r="ABS16" s="381"/>
      <c r="ABT16" s="381"/>
      <c r="ABU16" s="381"/>
      <c r="ABV16" s="381"/>
      <c r="ABW16" s="381"/>
      <c r="ABX16" s="381"/>
      <c r="ABY16" s="381"/>
      <c r="ABZ16" s="381"/>
      <c r="ACA16" s="381"/>
      <c r="ACB16" s="381"/>
      <c r="ACC16" s="381"/>
      <c r="ACD16" s="381"/>
      <c r="ACE16" s="381"/>
      <c r="ACF16" s="381"/>
      <c r="ACG16" s="381"/>
      <c r="ACH16" s="381"/>
      <c r="ACI16" s="381"/>
      <c r="ACJ16" s="381"/>
      <c r="ACK16" s="381"/>
      <c r="ACL16" s="381"/>
      <c r="ACM16" s="381"/>
      <c r="ACN16" s="381"/>
      <c r="ACO16" s="381"/>
      <c r="ACP16" s="381"/>
      <c r="ACQ16" s="381"/>
      <c r="ACR16" s="381"/>
      <c r="ACS16" s="381"/>
      <c r="ACT16" s="381"/>
      <c r="ACU16" s="381"/>
      <c r="ACV16" s="381"/>
      <c r="ACW16" s="381"/>
      <c r="ACX16" s="381"/>
      <c r="ACY16" s="381"/>
      <c r="ACZ16" s="381"/>
      <c r="ADA16" s="381"/>
      <c r="ADB16" s="381"/>
      <c r="ADC16" s="381"/>
      <c r="ADD16" s="381"/>
      <c r="ADE16" s="381"/>
      <c r="ADF16" s="381"/>
      <c r="ADG16" s="381"/>
      <c r="ADH16" s="381"/>
      <c r="ADI16" s="381"/>
      <c r="ADJ16" s="381"/>
      <c r="ADK16" s="381"/>
      <c r="ADL16" s="381"/>
      <c r="ADM16" s="381"/>
      <c r="ADN16" s="381"/>
      <c r="ADO16" s="381"/>
      <c r="ADP16" s="381"/>
      <c r="ADQ16" s="381"/>
      <c r="ADR16" s="381"/>
      <c r="ADS16" s="381"/>
      <c r="ADT16" s="381"/>
      <c r="ADU16" s="381"/>
      <c r="ADV16" s="381"/>
      <c r="ADW16" s="381"/>
      <c r="ADX16" s="381"/>
      <c r="ADY16" s="381"/>
      <c r="ADZ16" s="381"/>
      <c r="AEA16" s="381"/>
      <c r="AEB16" s="381"/>
      <c r="AEC16" s="381"/>
      <c r="AED16" s="381"/>
      <c r="AEE16" s="381"/>
      <c r="AEF16" s="381"/>
      <c r="AEG16" s="381"/>
      <c r="AEH16" s="381"/>
      <c r="AEI16" s="381"/>
      <c r="AEJ16" s="381"/>
      <c r="AEK16" s="381"/>
      <c r="AEL16" s="381"/>
      <c r="AEM16" s="381"/>
      <c r="AEN16" s="381"/>
      <c r="AEO16" s="381"/>
      <c r="AEP16" s="381"/>
      <c r="AEQ16" s="381"/>
      <c r="AER16" s="381"/>
      <c r="AES16" s="381"/>
      <c r="AET16" s="381"/>
      <c r="AEU16" s="381"/>
      <c r="AEV16" s="381"/>
      <c r="AEW16" s="381"/>
      <c r="AEX16" s="381"/>
      <c r="AEY16" s="381"/>
      <c r="AEZ16" s="381"/>
      <c r="AFA16" s="381"/>
      <c r="AFB16" s="381"/>
      <c r="AFC16" s="381"/>
      <c r="AFD16" s="381"/>
      <c r="AFE16" s="381"/>
      <c r="AFF16" s="381"/>
      <c r="AFG16" s="381"/>
      <c r="AFH16" s="381"/>
      <c r="AFI16" s="381"/>
      <c r="AFJ16" s="381"/>
      <c r="AFK16" s="381"/>
      <c r="AFL16" s="381"/>
      <c r="AFM16" s="381"/>
      <c r="AFN16" s="381"/>
      <c r="AFO16" s="381"/>
      <c r="AFP16" s="381"/>
      <c r="AFQ16" s="381"/>
      <c r="AFR16" s="381"/>
      <c r="AFS16" s="381"/>
      <c r="AFT16" s="381"/>
      <c r="AFU16" s="381"/>
      <c r="AFV16" s="381"/>
      <c r="AFW16" s="381"/>
      <c r="AFX16" s="381"/>
      <c r="AFY16" s="381"/>
      <c r="AFZ16" s="381"/>
      <c r="AGA16" s="381"/>
      <c r="AGB16" s="381"/>
      <c r="AGC16" s="381"/>
      <c r="AGD16" s="381"/>
      <c r="AGE16" s="381"/>
      <c r="AGF16" s="381"/>
      <c r="AGG16" s="381"/>
      <c r="AGH16" s="381"/>
      <c r="AGI16" s="381"/>
      <c r="AGJ16" s="381"/>
      <c r="AGK16" s="381"/>
      <c r="AGL16" s="381"/>
      <c r="AGM16" s="381"/>
      <c r="AGN16" s="381"/>
      <c r="AGO16" s="381"/>
      <c r="AGP16" s="381"/>
      <c r="AGQ16" s="381"/>
      <c r="AGR16" s="381"/>
      <c r="AGS16" s="381"/>
      <c r="AGT16" s="381"/>
      <c r="AGU16" s="381"/>
      <c r="AGV16" s="381"/>
      <c r="AGW16" s="381"/>
      <c r="AGX16" s="381"/>
      <c r="AGY16" s="381"/>
      <c r="AGZ16" s="381"/>
      <c r="AHA16" s="381"/>
      <c r="AHB16" s="381"/>
      <c r="AHC16" s="381"/>
      <c r="AHD16" s="381"/>
      <c r="AHE16" s="381"/>
      <c r="AHF16" s="381"/>
      <c r="AHG16" s="381"/>
      <c r="AHH16" s="381"/>
      <c r="AHI16" s="381"/>
      <c r="AHJ16" s="381"/>
      <c r="AHK16" s="381"/>
      <c r="AHL16" s="381"/>
      <c r="AHM16" s="381"/>
      <c r="AHN16" s="381"/>
      <c r="AHO16" s="381"/>
      <c r="AHP16" s="381"/>
      <c r="AHQ16" s="381"/>
      <c r="AHR16" s="381"/>
      <c r="AHS16" s="381"/>
      <c r="AHT16" s="381"/>
      <c r="AHU16" s="381"/>
      <c r="AHV16" s="381"/>
      <c r="AHW16" s="381"/>
      <c r="AHX16" s="381"/>
      <c r="AHY16" s="381"/>
      <c r="AHZ16" s="381"/>
      <c r="AIA16" s="381"/>
      <c r="AIB16" s="381"/>
      <c r="AIC16" s="381"/>
      <c r="AID16" s="381"/>
      <c r="AIE16" s="381"/>
      <c r="AIF16" s="381"/>
      <c r="AIG16" s="381"/>
      <c r="AIH16" s="381"/>
      <c r="AII16" s="381"/>
      <c r="AIJ16" s="381"/>
      <c r="AIK16" s="381"/>
      <c r="AIL16" s="381"/>
      <c r="AIM16" s="381"/>
      <c r="AIN16" s="381"/>
      <c r="AIO16" s="381"/>
      <c r="AIP16" s="381"/>
      <c r="AIQ16" s="381"/>
      <c r="AIR16" s="381"/>
      <c r="AIS16" s="381"/>
      <c r="AIT16" s="381"/>
      <c r="AIU16" s="381"/>
      <c r="AIV16" s="381"/>
      <c r="AIW16" s="381"/>
      <c r="AIX16" s="381"/>
      <c r="AIY16" s="381"/>
      <c r="AIZ16" s="381"/>
      <c r="AJA16" s="381"/>
      <c r="AJB16" s="381"/>
      <c r="AJC16" s="381"/>
      <c r="AJD16" s="381"/>
      <c r="AJE16" s="381"/>
      <c r="AJF16" s="381"/>
      <c r="AJG16" s="381"/>
      <c r="AJH16" s="381"/>
      <c r="AJI16" s="381"/>
      <c r="AJJ16" s="381"/>
      <c r="AJK16" s="381"/>
      <c r="AJL16" s="381"/>
      <c r="AJM16" s="381"/>
      <c r="AJN16" s="381"/>
      <c r="AJO16" s="381"/>
      <c r="AJP16" s="381"/>
      <c r="AJQ16" s="381"/>
      <c r="AJR16" s="381"/>
      <c r="AJS16" s="381"/>
      <c r="AJT16" s="381"/>
      <c r="AJU16" s="381"/>
      <c r="AJV16" s="381"/>
      <c r="AJW16" s="381"/>
      <c r="AJX16" s="381"/>
      <c r="AJY16" s="381"/>
      <c r="AJZ16" s="381"/>
      <c r="AKA16" s="381"/>
      <c r="AKB16" s="381"/>
      <c r="AKC16" s="381"/>
      <c r="AKD16" s="381"/>
      <c r="AKE16" s="381"/>
      <c r="AKF16" s="381"/>
      <c r="AKG16" s="381"/>
      <c r="AKH16" s="381"/>
      <c r="AKI16" s="381"/>
      <c r="AKJ16" s="381"/>
      <c r="AKK16" s="381"/>
      <c r="AKL16" s="381"/>
      <c r="AKM16" s="381"/>
      <c r="AKN16" s="381"/>
      <c r="AKO16" s="381"/>
      <c r="AKP16" s="381"/>
      <c r="AKQ16" s="381"/>
      <c r="AKR16" s="381"/>
      <c r="AKS16" s="381"/>
      <c r="AKT16" s="381"/>
      <c r="AKU16" s="381"/>
      <c r="AKV16" s="381"/>
      <c r="AKW16" s="381"/>
      <c r="AKX16" s="381"/>
      <c r="AKY16" s="381"/>
      <c r="AKZ16" s="381"/>
      <c r="ALA16" s="381"/>
      <c r="ALB16" s="381"/>
      <c r="ALC16" s="381"/>
    </row>
    <row r="17" spans="1:991" s="359" customFormat="1" ht="88.5" customHeight="1" thickBot="1" x14ac:dyDescent="0.25">
      <c r="B17" s="360"/>
      <c r="C17" s="361" t="e">
        <f>J17-#REF!</f>
        <v>#REF!</v>
      </c>
      <c r="D17" s="362" t="s">
        <v>451</v>
      </c>
      <c r="E17" s="382"/>
      <c r="F17" s="383"/>
      <c r="G17" s="384"/>
      <c r="H17" s="385" t="s">
        <v>112</v>
      </c>
      <c r="I17" s="386" t="s">
        <v>452</v>
      </c>
      <c r="J17" s="387">
        <v>430000</v>
      </c>
      <c r="K17" s="388">
        <f>232166+65004.04</f>
        <v>297170.03999999998</v>
      </c>
      <c r="L17" s="389">
        <v>132829.96</v>
      </c>
      <c r="M17" s="390">
        <v>0</v>
      </c>
      <c r="N17" s="390">
        <v>0</v>
      </c>
      <c r="O17" s="391">
        <v>0</v>
      </c>
      <c r="P17" s="389"/>
      <c r="Q17" s="390"/>
      <c r="R17" s="390"/>
      <c r="S17" s="392"/>
      <c r="T17" s="393"/>
      <c r="U17" s="389"/>
      <c r="V17" s="390"/>
      <c r="W17" s="390"/>
      <c r="X17" s="390"/>
      <c r="Y17" s="390"/>
      <c r="Z17" s="390">
        <v>430000</v>
      </c>
      <c r="AA17" s="390"/>
      <c r="AB17" s="392"/>
      <c r="AC17" s="392"/>
      <c r="AD17" s="392"/>
      <c r="AE17" s="392"/>
      <c r="AF17" s="390"/>
      <c r="AG17" s="392"/>
      <c r="AH17" s="394"/>
      <c r="AI17" s="393"/>
      <c r="AJ17" s="389"/>
      <c r="AK17" s="390"/>
      <c r="AL17" s="395"/>
      <c r="AM17" s="376">
        <v>0</v>
      </c>
      <c r="AN17" s="395"/>
      <c r="AO17" s="376">
        <v>0</v>
      </c>
      <c r="AP17" s="396"/>
      <c r="AQ17" s="390"/>
      <c r="AR17" s="390"/>
      <c r="AS17" s="390">
        <v>0</v>
      </c>
      <c r="AT17" s="392"/>
      <c r="AU17" s="392"/>
      <c r="AV17" s="390"/>
      <c r="AW17" s="392"/>
      <c r="AX17" s="393"/>
      <c r="AY17" s="389"/>
      <c r="AZ17" s="397"/>
      <c r="BA17" s="398"/>
      <c r="BB17" s="399"/>
    </row>
    <row r="18" spans="1:991" s="400" customFormat="1" ht="65.25" customHeight="1" thickBot="1" x14ac:dyDescent="0.3">
      <c r="A18" s="381"/>
      <c r="B18" s="360"/>
      <c r="C18" s="361" t="e">
        <f>J18-#REF!</f>
        <v>#REF!</v>
      </c>
      <c r="D18" s="362" t="s">
        <v>453</v>
      </c>
      <c r="E18" s="382"/>
      <c r="F18" s="383"/>
      <c r="G18" s="384"/>
      <c r="H18" s="385" t="s">
        <v>112</v>
      </c>
      <c r="I18" s="386" t="s">
        <v>454</v>
      </c>
      <c r="J18" s="387">
        <v>449752.03</v>
      </c>
      <c r="K18" s="388">
        <v>449752.03</v>
      </c>
      <c r="L18" s="389">
        <v>0</v>
      </c>
      <c r="M18" s="390">
        <v>0</v>
      </c>
      <c r="N18" s="390">
        <v>0</v>
      </c>
      <c r="O18" s="391">
        <v>0</v>
      </c>
      <c r="P18" s="389"/>
      <c r="Q18" s="390"/>
      <c r="R18" s="390"/>
      <c r="S18" s="392"/>
      <c r="T18" s="393"/>
      <c r="U18" s="389"/>
      <c r="V18" s="390"/>
      <c r="W18" s="390"/>
      <c r="X18" s="390"/>
      <c r="Y18" s="390"/>
      <c r="Z18" s="390">
        <v>296800</v>
      </c>
      <c r="AA18" s="390"/>
      <c r="AB18" s="392"/>
      <c r="AC18" s="392"/>
      <c r="AD18" s="392"/>
      <c r="AE18" s="392"/>
      <c r="AF18" s="390"/>
      <c r="AG18" s="392"/>
      <c r="AH18" s="394"/>
      <c r="AI18" s="393"/>
      <c r="AJ18" s="389"/>
      <c r="AK18" s="390">
        <f>233200-80247.97-152952.03</f>
        <v>0</v>
      </c>
      <c r="AL18" s="395"/>
      <c r="AM18" s="376">
        <v>152952.03</v>
      </c>
      <c r="AN18" s="395"/>
      <c r="AO18" s="376">
        <v>0</v>
      </c>
      <c r="AP18" s="396"/>
      <c r="AQ18" s="390"/>
      <c r="AR18" s="390"/>
      <c r="AS18" s="390">
        <v>0</v>
      </c>
      <c r="AT18" s="392"/>
      <c r="AU18" s="392"/>
      <c r="AV18" s="390"/>
      <c r="AW18" s="392"/>
      <c r="AX18" s="393"/>
      <c r="AY18" s="389"/>
      <c r="AZ18" s="397"/>
      <c r="BA18" s="398"/>
      <c r="BB18" s="399"/>
      <c r="BC18" s="381"/>
      <c r="BD18" s="381"/>
      <c r="BE18" s="381"/>
      <c r="BF18" s="381"/>
      <c r="BG18" s="381"/>
      <c r="BH18" s="381"/>
      <c r="BI18" s="381"/>
      <c r="BJ18" s="381"/>
      <c r="BK18" s="381"/>
      <c r="BL18" s="381"/>
      <c r="BM18" s="381"/>
      <c r="BN18" s="381"/>
      <c r="BO18" s="381"/>
      <c r="BP18" s="381"/>
      <c r="BQ18" s="381"/>
      <c r="BR18" s="381"/>
      <c r="BS18" s="381"/>
      <c r="BT18" s="381"/>
      <c r="BU18" s="381"/>
      <c r="BV18" s="381"/>
      <c r="BW18" s="381"/>
      <c r="BX18" s="381"/>
      <c r="BY18" s="381"/>
      <c r="BZ18" s="381"/>
      <c r="CA18" s="381"/>
      <c r="CB18" s="381"/>
      <c r="CC18" s="381"/>
      <c r="CD18" s="381"/>
      <c r="CE18" s="381"/>
      <c r="CF18" s="381"/>
      <c r="CG18" s="381"/>
      <c r="CH18" s="381"/>
      <c r="CI18" s="381"/>
      <c r="CJ18" s="381"/>
      <c r="CK18" s="381"/>
      <c r="CL18" s="381"/>
      <c r="CM18" s="381"/>
      <c r="CN18" s="381"/>
      <c r="CO18" s="381"/>
      <c r="CP18" s="381"/>
      <c r="CQ18" s="381"/>
      <c r="CR18" s="381"/>
      <c r="CS18" s="381"/>
      <c r="CT18" s="381"/>
      <c r="CU18" s="381"/>
      <c r="CV18" s="381"/>
      <c r="CW18" s="381"/>
      <c r="CX18" s="381"/>
      <c r="CY18" s="381"/>
      <c r="CZ18" s="381"/>
      <c r="DA18" s="381"/>
      <c r="DB18" s="381"/>
      <c r="DC18" s="381"/>
      <c r="DD18" s="381"/>
      <c r="DE18" s="381"/>
      <c r="DF18" s="381"/>
      <c r="DG18" s="381"/>
      <c r="DH18" s="381"/>
      <c r="DI18" s="381"/>
      <c r="DJ18" s="381"/>
      <c r="DK18" s="381"/>
      <c r="DL18" s="381"/>
      <c r="DM18" s="381"/>
      <c r="DN18" s="381"/>
      <c r="DO18" s="381"/>
      <c r="DP18" s="381"/>
      <c r="DQ18" s="381"/>
      <c r="DR18" s="381"/>
      <c r="DS18" s="381"/>
      <c r="DT18" s="381"/>
      <c r="DU18" s="381"/>
      <c r="DV18" s="381"/>
      <c r="DW18" s="381"/>
      <c r="DX18" s="381"/>
      <c r="DY18" s="381"/>
      <c r="DZ18" s="381"/>
      <c r="EA18" s="381"/>
      <c r="EB18" s="381"/>
      <c r="EC18" s="381"/>
      <c r="ED18" s="381"/>
      <c r="EE18" s="381"/>
      <c r="EF18" s="381"/>
      <c r="EG18" s="381"/>
      <c r="EH18" s="381"/>
      <c r="EI18" s="381"/>
      <c r="EJ18" s="381"/>
      <c r="EK18" s="381"/>
      <c r="EL18" s="381"/>
      <c r="EM18" s="381"/>
      <c r="EN18" s="381"/>
      <c r="EO18" s="381"/>
      <c r="EP18" s="381"/>
      <c r="EQ18" s="381"/>
      <c r="ER18" s="381"/>
      <c r="ES18" s="381"/>
      <c r="ET18" s="381"/>
      <c r="EU18" s="381"/>
      <c r="EV18" s="381"/>
      <c r="EW18" s="381"/>
      <c r="EX18" s="381"/>
      <c r="EY18" s="381"/>
      <c r="EZ18" s="381"/>
      <c r="FA18" s="381"/>
      <c r="FB18" s="381"/>
      <c r="FC18" s="381"/>
      <c r="FD18" s="381"/>
      <c r="FE18" s="381"/>
      <c r="FF18" s="381"/>
      <c r="FG18" s="381"/>
      <c r="FH18" s="381"/>
      <c r="FI18" s="381"/>
      <c r="FJ18" s="381"/>
      <c r="FK18" s="381"/>
      <c r="FL18" s="381"/>
      <c r="FM18" s="381"/>
      <c r="FN18" s="381"/>
      <c r="FO18" s="381"/>
      <c r="FP18" s="381"/>
      <c r="FQ18" s="381"/>
      <c r="FR18" s="381"/>
      <c r="FS18" s="381"/>
      <c r="FT18" s="381"/>
      <c r="FU18" s="381"/>
      <c r="FV18" s="381"/>
      <c r="FW18" s="381"/>
      <c r="FX18" s="381"/>
      <c r="FY18" s="381"/>
      <c r="FZ18" s="381"/>
      <c r="GA18" s="381"/>
      <c r="GB18" s="381"/>
      <c r="GC18" s="381"/>
      <c r="GD18" s="381"/>
      <c r="GE18" s="381"/>
      <c r="GF18" s="381"/>
      <c r="GG18" s="381"/>
      <c r="GH18" s="381"/>
      <c r="GI18" s="381"/>
      <c r="GJ18" s="381"/>
      <c r="GK18" s="381"/>
      <c r="GL18" s="381"/>
      <c r="GM18" s="381"/>
      <c r="GN18" s="381"/>
      <c r="GO18" s="381"/>
      <c r="GP18" s="381"/>
      <c r="GQ18" s="381"/>
      <c r="GR18" s="381"/>
      <c r="GS18" s="381"/>
      <c r="GT18" s="381"/>
      <c r="GU18" s="381"/>
      <c r="GV18" s="381"/>
      <c r="GW18" s="381"/>
      <c r="GX18" s="381"/>
      <c r="GY18" s="381"/>
      <c r="GZ18" s="381"/>
      <c r="HA18" s="381"/>
      <c r="HB18" s="381"/>
      <c r="HC18" s="381"/>
      <c r="HD18" s="381"/>
      <c r="HE18" s="381"/>
      <c r="HF18" s="381"/>
      <c r="HG18" s="381"/>
      <c r="HH18" s="381"/>
      <c r="HI18" s="381"/>
      <c r="HJ18" s="381"/>
      <c r="HK18" s="381"/>
      <c r="HL18" s="381"/>
      <c r="HM18" s="381"/>
      <c r="HN18" s="381"/>
      <c r="HO18" s="381"/>
      <c r="HP18" s="381"/>
      <c r="HQ18" s="381"/>
      <c r="HR18" s="381"/>
      <c r="HS18" s="381"/>
      <c r="HT18" s="381"/>
      <c r="HU18" s="381"/>
      <c r="HV18" s="381"/>
      <c r="HW18" s="381"/>
      <c r="HX18" s="381"/>
      <c r="HY18" s="381"/>
      <c r="HZ18" s="381"/>
      <c r="IA18" s="381"/>
      <c r="IB18" s="381"/>
      <c r="IC18" s="381"/>
      <c r="ID18" s="381"/>
      <c r="IE18" s="381"/>
      <c r="IF18" s="381"/>
      <c r="IG18" s="381"/>
      <c r="IH18" s="381"/>
      <c r="II18" s="381"/>
      <c r="IJ18" s="381"/>
      <c r="IK18" s="381"/>
      <c r="IL18" s="381"/>
      <c r="IM18" s="381"/>
      <c r="IN18" s="381"/>
      <c r="IO18" s="381"/>
      <c r="IP18" s="381"/>
      <c r="IQ18" s="381"/>
      <c r="IR18" s="381"/>
      <c r="IS18" s="381"/>
      <c r="IT18" s="381"/>
      <c r="IU18" s="381"/>
      <c r="IV18" s="381"/>
      <c r="IW18" s="381"/>
      <c r="IX18" s="381"/>
      <c r="IY18" s="381"/>
      <c r="IZ18" s="381"/>
      <c r="JA18" s="381"/>
      <c r="JB18" s="381"/>
      <c r="JC18" s="381"/>
      <c r="JD18" s="381"/>
      <c r="JE18" s="381"/>
      <c r="JF18" s="381"/>
      <c r="JG18" s="381"/>
      <c r="JH18" s="381"/>
      <c r="JI18" s="381"/>
      <c r="JJ18" s="381"/>
      <c r="JK18" s="381"/>
      <c r="JL18" s="381"/>
      <c r="JM18" s="381"/>
      <c r="JN18" s="381"/>
      <c r="JO18" s="381"/>
      <c r="JP18" s="381"/>
      <c r="JQ18" s="381"/>
      <c r="JR18" s="381"/>
      <c r="JS18" s="381"/>
      <c r="JT18" s="381"/>
      <c r="JU18" s="381"/>
      <c r="JV18" s="381"/>
      <c r="JW18" s="381"/>
      <c r="JX18" s="381"/>
      <c r="JY18" s="381"/>
      <c r="JZ18" s="381"/>
      <c r="KA18" s="381"/>
      <c r="KB18" s="381"/>
      <c r="KC18" s="381"/>
      <c r="KD18" s="381"/>
      <c r="KE18" s="381"/>
      <c r="KF18" s="381"/>
      <c r="KG18" s="381"/>
      <c r="KH18" s="381"/>
      <c r="KI18" s="381"/>
      <c r="KJ18" s="381"/>
      <c r="KK18" s="381"/>
      <c r="KL18" s="381"/>
      <c r="KM18" s="381"/>
      <c r="KN18" s="381"/>
      <c r="KO18" s="381"/>
      <c r="KP18" s="381"/>
      <c r="KQ18" s="381"/>
      <c r="KR18" s="381"/>
      <c r="KS18" s="381"/>
      <c r="KT18" s="381"/>
      <c r="KU18" s="381"/>
      <c r="KV18" s="381"/>
      <c r="KW18" s="381"/>
      <c r="KX18" s="381"/>
      <c r="KY18" s="381"/>
      <c r="KZ18" s="381"/>
      <c r="LA18" s="381"/>
      <c r="LB18" s="381"/>
      <c r="LC18" s="381"/>
      <c r="LD18" s="381"/>
      <c r="LE18" s="381"/>
      <c r="LF18" s="381"/>
      <c r="LG18" s="381"/>
      <c r="LH18" s="381"/>
      <c r="LI18" s="381"/>
      <c r="LJ18" s="381"/>
      <c r="LK18" s="381"/>
      <c r="LL18" s="381"/>
      <c r="LM18" s="381"/>
      <c r="LN18" s="381"/>
      <c r="LO18" s="381"/>
      <c r="LP18" s="381"/>
      <c r="LQ18" s="381"/>
      <c r="LR18" s="381"/>
      <c r="LS18" s="381"/>
      <c r="LT18" s="381"/>
      <c r="LU18" s="381"/>
      <c r="LV18" s="381"/>
      <c r="LW18" s="381"/>
      <c r="LX18" s="381"/>
      <c r="LY18" s="381"/>
      <c r="LZ18" s="381"/>
      <c r="MA18" s="381"/>
      <c r="MB18" s="381"/>
      <c r="MC18" s="381"/>
      <c r="MD18" s="381"/>
      <c r="ME18" s="381"/>
      <c r="MF18" s="381"/>
      <c r="MG18" s="381"/>
      <c r="MH18" s="381"/>
      <c r="MI18" s="381"/>
      <c r="MJ18" s="381"/>
      <c r="MK18" s="381"/>
      <c r="ML18" s="381"/>
      <c r="MM18" s="381"/>
      <c r="MN18" s="381"/>
      <c r="MO18" s="381"/>
      <c r="MP18" s="381"/>
      <c r="MQ18" s="381"/>
      <c r="MR18" s="381"/>
      <c r="MS18" s="381"/>
      <c r="MT18" s="381"/>
      <c r="MU18" s="381"/>
      <c r="MV18" s="381"/>
      <c r="MW18" s="381"/>
      <c r="MX18" s="381"/>
      <c r="MY18" s="381"/>
      <c r="MZ18" s="381"/>
      <c r="NA18" s="381"/>
      <c r="NB18" s="381"/>
      <c r="NC18" s="381"/>
      <c r="ND18" s="381"/>
      <c r="NE18" s="381"/>
      <c r="NF18" s="381"/>
      <c r="NG18" s="381"/>
      <c r="NH18" s="381"/>
      <c r="NI18" s="381"/>
      <c r="NJ18" s="381"/>
      <c r="NK18" s="381"/>
      <c r="NL18" s="381"/>
      <c r="NM18" s="381"/>
      <c r="NN18" s="381"/>
      <c r="NO18" s="381"/>
      <c r="NP18" s="381"/>
      <c r="NQ18" s="381"/>
      <c r="NR18" s="381"/>
      <c r="NS18" s="381"/>
      <c r="NT18" s="381"/>
      <c r="NU18" s="381"/>
      <c r="NV18" s="381"/>
      <c r="NW18" s="381"/>
      <c r="NX18" s="381"/>
      <c r="NY18" s="381"/>
      <c r="NZ18" s="381"/>
      <c r="OA18" s="381"/>
      <c r="OB18" s="381"/>
      <c r="OC18" s="381"/>
      <c r="OD18" s="381"/>
      <c r="OE18" s="381"/>
      <c r="OF18" s="381"/>
      <c r="OG18" s="381"/>
      <c r="OH18" s="381"/>
      <c r="OI18" s="381"/>
      <c r="OJ18" s="381"/>
      <c r="OK18" s="381"/>
      <c r="OL18" s="381"/>
      <c r="OM18" s="381"/>
      <c r="ON18" s="381"/>
      <c r="OO18" s="381"/>
      <c r="OP18" s="381"/>
      <c r="OQ18" s="381"/>
      <c r="OR18" s="381"/>
      <c r="OS18" s="381"/>
      <c r="OT18" s="381"/>
      <c r="OU18" s="381"/>
      <c r="OV18" s="381"/>
      <c r="OW18" s="381"/>
      <c r="OX18" s="381"/>
      <c r="OY18" s="381"/>
      <c r="OZ18" s="381"/>
      <c r="PA18" s="381"/>
      <c r="PB18" s="381"/>
      <c r="PC18" s="381"/>
      <c r="PD18" s="381"/>
      <c r="PE18" s="381"/>
      <c r="PF18" s="381"/>
      <c r="PG18" s="381"/>
      <c r="PH18" s="381"/>
      <c r="PI18" s="381"/>
      <c r="PJ18" s="381"/>
      <c r="PK18" s="381"/>
      <c r="PL18" s="381"/>
      <c r="PM18" s="381"/>
      <c r="PN18" s="381"/>
      <c r="PO18" s="381"/>
      <c r="PP18" s="381"/>
      <c r="PQ18" s="381"/>
      <c r="PR18" s="381"/>
      <c r="PS18" s="381"/>
      <c r="PT18" s="381"/>
      <c r="PU18" s="381"/>
      <c r="PV18" s="381"/>
      <c r="PW18" s="381"/>
      <c r="PX18" s="381"/>
      <c r="PY18" s="381"/>
      <c r="PZ18" s="381"/>
      <c r="QA18" s="381"/>
      <c r="QB18" s="381"/>
      <c r="QC18" s="381"/>
      <c r="QD18" s="381"/>
      <c r="QE18" s="381"/>
      <c r="QF18" s="381"/>
      <c r="QG18" s="381"/>
      <c r="QH18" s="381"/>
      <c r="QI18" s="381"/>
      <c r="QJ18" s="381"/>
      <c r="QK18" s="381"/>
      <c r="QL18" s="381"/>
      <c r="QM18" s="381"/>
      <c r="QN18" s="381"/>
      <c r="QO18" s="381"/>
      <c r="QP18" s="381"/>
      <c r="QQ18" s="381"/>
      <c r="QR18" s="381"/>
      <c r="QS18" s="381"/>
      <c r="QT18" s="381"/>
      <c r="QU18" s="381"/>
      <c r="QV18" s="381"/>
      <c r="QW18" s="381"/>
      <c r="QX18" s="381"/>
      <c r="QY18" s="381"/>
      <c r="QZ18" s="381"/>
      <c r="RA18" s="381"/>
      <c r="RB18" s="381"/>
      <c r="RC18" s="381"/>
      <c r="RD18" s="381"/>
      <c r="RE18" s="381"/>
      <c r="RF18" s="381"/>
      <c r="RG18" s="381"/>
      <c r="RH18" s="381"/>
      <c r="RI18" s="381"/>
      <c r="RJ18" s="381"/>
      <c r="RK18" s="381"/>
      <c r="RL18" s="381"/>
      <c r="RM18" s="381"/>
      <c r="RN18" s="381"/>
      <c r="RO18" s="381"/>
      <c r="RP18" s="381"/>
      <c r="RQ18" s="381"/>
      <c r="RR18" s="381"/>
      <c r="RS18" s="381"/>
      <c r="RT18" s="381"/>
      <c r="RU18" s="381"/>
      <c r="RV18" s="381"/>
      <c r="RW18" s="381"/>
      <c r="RX18" s="381"/>
      <c r="RY18" s="381"/>
      <c r="RZ18" s="381"/>
      <c r="SA18" s="381"/>
      <c r="SB18" s="381"/>
      <c r="SC18" s="381"/>
      <c r="SD18" s="381"/>
      <c r="SE18" s="381"/>
      <c r="SF18" s="381"/>
      <c r="SG18" s="381"/>
      <c r="SH18" s="381"/>
      <c r="SI18" s="381"/>
      <c r="SJ18" s="381"/>
      <c r="SK18" s="381"/>
      <c r="SL18" s="381"/>
      <c r="SM18" s="381"/>
      <c r="SN18" s="381"/>
      <c r="SO18" s="381"/>
      <c r="SP18" s="381"/>
      <c r="SQ18" s="381"/>
      <c r="SR18" s="381"/>
      <c r="SS18" s="381"/>
      <c r="ST18" s="381"/>
      <c r="SU18" s="381"/>
      <c r="SV18" s="381"/>
      <c r="SW18" s="381"/>
      <c r="SX18" s="381"/>
      <c r="SY18" s="381"/>
      <c r="SZ18" s="381"/>
      <c r="TA18" s="381"/>
      <c r="TB18" s="381"/>
      <c r="TC18" s="381"/>
      <c r="TD18" s="381"/>
      <c r="TE18" s="381"/>
      <c r="TF18" s="381"/>
      <c r="TG18" s="381"/>
      <c r="TH18" s="381"/>
      <c r="TI18" s="381"/>
      <c r="TJ18" s="381"/>
      <c r="TK18" s="381"/>
      <c r="TL18" s="381"/>
      <c r="TM18" s="381"/>
      <c r="TN18" s="381"/>
      <c r="TO18" s="381"/>
      <c r="TP18" s="381"/>
      <c r="TQ18" s="381"/>
      <c r="TR18" s="381"/>
      <c r="TS18" s="381"/>
      <c r="TT18" s="381"/>
      <c r="TU18" s="381"/>
      <c r="TV18" s="381"/>
      <c r="TW18" s="381"/>
      <c r="TX18" s="381"/>
      <c r="TY18" s="381"/>
      <c r="TZ18" s="381"/>
      <c r="UA18" s="381"/>
      <c r="UB18" s="381"/>
      <c r="UC18" s="381"/>
      <c r="UD18" s="381"/>
      <c r="UE18" s="381"/>
      <c r="UF18" s="381"/>
      <c r="UG18" s="381"/>
      <c r="UH18" s="381"/>
      <c r="UI18" s="381"/>
      <c r="UJ18" s="381"/>
      <c r="UK18" s="381"/>
      <c r="UL18" s="381"/>
      <c r="UM18" s="381"/>
      <c r="UN18" s="381"/>
      <c r="UO18" s="381"/>
      <c r="UP18" s="381"/>
      <c r="UQ18" s="381"/>
      <c r="UR18" s="381"/>
      <c r="US18" s="381"/>
      <c r="UT18" s="381"/>
      <c r="UU18" s="381"/>
      <c r="UV18" s="381"/>
      <c r="UW18" s="381"/>
      <c r="UX18" s="381"/>
      <c r="UY18" s="381"/>
      <c r="UZ18" s="381"/>
      <c r="VA18" s="381"/>
      <c r="VB18" s="381"/>
      <c r="VC18" s="381"/>
      <c r="VD18" s="381"/>
      <c r="VE18" s="381"/>
      <c r="VF18" s="381"/>
      <c r="VG18" s="381"/>
      <c r="VH18" s="381"/>
      <c r="VI18" s="381"/>
      <c r="VJ18" s="381"/>
      <c r="VK18" s="381"/>
      <c r="VL18" s="381"/>
      <c r="VM18" s="381"/>
      <c r="VN18" s="381"/>
      <c r="VO18" s="381"/>
      <c r="VP18" s="381"/>
      <c r="VQ18" s="381"/>
      <c r="VR18" s="381"/>
      <c r="VS18" s="381"/>
      <c r="VT18" s="381"/>
      <c r="VU18" s="381"/>
      <c r="VV18" s="381"/>
      <c r="VW18" s="381"/>
      <c r="VX18" s="381"/>
      <c r="VY18" s="381"/>
      <c r="VZ18" s="381"/>
      <c r="WA18" s="381"/>
      <c r="WB18" s="381"/>
      <c r="WC18" s="381"/>
      <c r="WD18" s="381"/>
      <c r="WE18" s="381"/>
      <c r="WF18" s="381"/>
      <c r="WG18" s="381"/>
      <c r="WH18" s="381"/>
      <c r="WI18" s="381"/>
      <c r="WJ18" s="381"/>
      <c r="WK18" s="381"/>
      <c r="WL18" s="381"/>
      <c r="WM18" s="381"/>
      <c r="WN18" s="381"/>
      <c r="WO18" s="381"/>
      <c r="WP18" s="381"/>
      <c r="WQ18" s="381"/>
      <c r="WR18" s="381"/>
      <c r="WS18" s="381"/>
      <c r="WT18" s="381"/>
      <c r="WU18" s="381"/>
      <c r="WV18" s="381"/>
      <c r="WW18" s="381"/>
      <c r="WX18" s="381"/>
      <c r="WY18" s="381"/>
      <c r="WZ18" s="381"/>
      <c r="XA18" s="381"/>
      <c r="XB18" s="381"/>
      <c r="XC18" s="381"/>
      <c r="XD18" s="381"/>
      <c r="XE18" s="381"/>
      <c r="XF18" s="381"/>
      <c r="XG18" s="381"/>
      <c r="XH18" s="381"/>
      <c r="XI18" s="381"/>
      <c r="XJ18" s="381"/>
      <c r="XK18" s="381"/>
      <c r="XL18" s="381"/>
      <c r="XM18" s="381"/>
      <c r="XN18" s="381"/>
      <c r="XO18" s="381"/>
      <c r="XP18" s="381"/>
      <c r="XQ18" s="381"/>
      <c r="XR18" s="381"/>
      <c r="XS18" s="381"/>
      <c r="XT18" s="381"/>
      <c r="XU18" s="381"/>
      <c r="XV18" s="381"/>
      <c r="XW18" s="381"/>
      <c r="XX18" s="381"/>
      <c r="XY18" s="381"/>
      <c r="XZ18" s="381"/>
      <c r="YA18" s="381"/>
      <c r="YB18" s="381"/>
      <c r="YC18" s="381"/>
      <c r="YD18" s="381"/>
      <c r="YE18" s="381"/>
      <c r="YF18" s="381"/>
      <c r="YG18" s="381"/>
      <c r="YH18" s="381"/>
      <c r="YI18" s="381"/>
      <c r="YJ18" s="381"/>
      <c r="YK18" s="381"/>
      <c r="YL18" s="381"/>
      <c r="YM18" s="381"/>
      <c r="YN18" s="381"/>
      <c r="YO18" s="381"/>
      <c r="YP18" s="381"/>
      <c r="YQ18" s="381"/>
      <c r="YR18" s="381"/>
      <c r="YS18" s="381"/>
      <c r="YT18" s="381"/>
      <c r="YU18" s="381"/>
      <c r="YV18" s="381"/>
      <c r="YW18" s="381"/>
      <c r="YX18" s="381"/>
      <c r="YY18" s="381"/>
      <c r="YZ18" s="381"/>
      <c r="ZA18" s="381"/>
      <c r="ZB18" s="381"/>
      <c r="ZC18" s="381"/>
      <c r="ZD18" s="381"/>
      <c r="ZE18" s="381"/>
      <c r="ZF18" s="381"/>
      <c r="ZG18" s="381"/>
      <c r="ZH18" s="381"/>
      <c r="ZI18" s="381"/>
      <c r="ZJ18" s="381"/>
      <c r="ZK18" s="381"/>
      <c r="ZL18" s="381"/>
      <c r="ZM18" s="381"/>
      <c r="ZN18" s="381"/>
      <c r="ZO18" s="381"/>
      <c r="ZP18" s="381"/>
      <c r="ZQ18" s="381"/>
      <c r="ZR18" s="381"/>
      <c r="ZS18" s="381"/>
      <c r="ZT18" s="381"/>
      <c r="ZU18" s="381"/>
      <c r="ZV18" s="381"/>
      <c r="ZW18" s="381"/>
      <c r="ZX18" s="381"/>
      <c r="ZY18" s="381"/>
      <c r="ZZ18" s="381"/>
      <c r="AAA18" s="381"/>
      <c r="AAB18" s="381"/>
      <c r="AAC18" s="381"/>
      <c r="AAD18" s="381"/>
      <c r="AAE18" s="381"/>
      <c r="AAF18" s="381"/>
      <c r="AAG18" s="381"/>
      <c r="AAH18" s="381"/>
      <c r="AAI18" s="381"/>
      <c r="AAJ18" s="381"/>
      <c r="AAK18" s="381"/>
      <c r="AAL18" s="381"/>
      <c r="AAM18" s="381"/>
      <c r="AAN18" s="381"/>
      <c r="AAO18" s="381"/>
      <c r="AAP18" s="381"/>
      <c r="AAQ18" s="381"/>
      <c r="AAR18" s="381"/>
      <c r="AAS18" s="381"/>
      <c r="AAT18" s="381"/>
      <c r="AAU18" s="381"/>
      <c r="AAV18" s="381"/>
      <c r="AAW18" s="381"/>
      <c r="AAX18" s="381"/>
      <c r="AAY18" s="381"/>
      <c r="AAZ18" s="381"/>
      <c r="ABA18" s="381"/>
      <c r="ABB18" s="381"/>
      <c r="ABC18" s="381"/>
      <c r="ABD18" s="381"/>
      <c r="ABE18" s="381"/>
      <c r="ABF18" s="381"/>
      <c r="ABG18" s="381"/>
      <c r="ABH18" s="381"/>
      <c r="ABI18" s="381"/>
      <c r="ABJ18" s="381"/>
      <c r="ABK18" s="381"/>
      <c r="ABL18" s="381"/>
      <c r="ABM18" s="381"/>
      <c r="ABN18" s="381"/>
      <c r="ABO18" s="381"/>
      <c r="ABP18" s="381"/>
      <c r="ABQ18" s="381"/>
      <c r="ABR18" s="381"/>
      <c r="ABS18" s="381"/>
      <c r="ABT18" s="381"/>
      <c r="ABU18" s="381"/>
      <c r="ABV18" s="381"/>
      <c r="ABW18" s="381"/>
      <c r="ABX18" s="381"/>
      <c r="ABY18" s="381"/>
      <c r="ABZ18" s="381"/>
      <c r="ACA18" s="381"/>
      <c r="ACB18" s="381"/>
      <c r="ACC18" s="381"/>
      <c r="ACD18" s="381"/>
      <c r="ACE18" s="381"/>
      <c r="ACF18" s="381"/>
      <c r="ACG18" s="381"/>
      <c r="ACH18" s="381"/>
      <c r="ACI18" s="381"/>
      <c r="ACJ18" s="381"/>
      <c r="ACK18" s="381"/>
      <c r="ACL18" s="381"/>
      <c r="ACM18" s="381"/>
      <c r="ACN18" s="381"/>
      <c r="ACO18" s="381"/>
      <c r="ACP18" s="381"/>
      <c r="ACQ18" s="381"/>
      <c r="ACR18" s="381"/>
      <c r="ACS18" s="381"/>
      <c r="ACT18" s="381"/>
      <c r="ACU18" s="381"/>
      <c r="ACV18" s="381"/>
      <c r="ACW18" s="381"/>
      <c r="ACX18" s="381"/>
      <c r="ACY18" s="381"/>
      <c r="ACZ18" s="381"/>
      <c r="ADA18" s="381"/>
      <c r="ADB18" s="381"/>
      <c r="ADC18" s="381"/>
      <c r="ADD18" s="381"/>
      <c r="ADE18" s="381"/>
      <c r="ADF18" s="381"/>
      <c r="ADG18" s="381"/>
      <c r="ADH18" s="381"/>
      <c r="ADI18" s="381"/>
      <c r="ADJ18" s="381"/>
      <c r="ADK18" s="381"/>
      <c r="ADL18" s="381"/>
      <c r="ADM18" s="381"/>
      <c r="ADN18" s="381"/>
      <c r="ADO18" s="381"/>
      <c r="ADP18" s="381"/>
      <c r="ADQ18" s="381"/>
      <c r="ADR18" s="381"/>
      <c r="ADS18" s="381"/>
      <c r="ADT18" s="381"/>
      <c r="ADU18" s="381"/>
      <c r="ADV18" s="381"/>
      <c r="ADW18" s="381"/>
      <c r="ADX18" s="381"/>
      <c r="ADY18" s="381"/>
      <c r="ADZ18" s="381"/>
      <c r="AEA18" s="381"/>
      <c r="AEB18" s="381"/>
      <c r="AEC18" s="381"/>
      <c r="AED18" s="381"/>
      <c r="AEE18" s="381"/>
      <c r="AEF18" s="381"/>
      <c r="AEG18" s="381"/>
      <c r="AEH18" s="381"/>
      <c r="AEI18" s="381"/>
      <c r="AEJ18" s="381"/>
      <c r="AEK18" s="381"/>
      <c r="AEL18" s="381"/>
      <c r="AEM18" s="381"/>
      <c r="AEN18" s="381"/>
      <c r="AEO18" s="381"/>
      <c r="AEP18" s="381"/>
      <c r="AEQ18" s="381"/>
      <c r="AER18" s="381"/>
      <c r="AES18" s="381"/>
      <c r="AET18" s="381"/>
      <c r="AEU18" s="381"/>
      <c r="AEV18" s="381"/>
      <c r="AEW18" s="381"/>
      <c r="AEX18" s="381"/>
      <c r="AEY18" s="381"/>
      <c r="AEZ18" s="381"/>
      <c r="AFA18" s="381"/>
      <c r="AFB18" s="381"/>
      <c r="AFC18" s="381"/>
      <c r="AFD18" s="381"/>
      <c r="AFE18" s="381"/>
      <c r="AFF18" s="381"/>
      <c r="AFG18" s="381"/>
      <c r="AFH18" s="381"/>
      <c r="AFI18" s="381"/>
      <c r="AFJ18" s="381"/>
      <c r="AFK18" s="381"/>
      <c r="AFL18" s="381"/>
      <c r="AFM18" s="381"/>
      <c r="AFN18" s="381"/>
      <c r="AFO18" s="381"/>
      <c r="AFP18" s="381"/>
      <c r="AFQ18" s="381"/>
      <c r="AFR18" s="381"/>
      <c r="AFS18" s="381"/>
      <c r="AFT18" s="381"/>
      <c r="AFU18" s="381"/>
      <c r="AFV18" s="381"/>
      <c r="AFW18" s="381"/>
      <c r="AFX18" s="381"/>
      <c r="AFY18" s="381"/>
      <c r="AFZ18" s="381"/>
      <c r="AGA18" s="381"/>
      <c r="AGB18" s="381"/>
      <c r="AGC18" s="381"/>
      <c r="AGD18" s="381"/>
      <c r="AGE18" s="381"/>
      <c r="AGF18" s="381"/>
      <c r="AGG18" s="381"/>
      <c r="AGH18" s="381"/>
      <c r="AGI18" s="381"/>
      <c r="AGJ18" s="381"/>
      <c r="AGK18" s="381"/>
      <c r="AGL18" s="381"/>
      <c r="AGM18" s="381"/>
      <c r="AGN18" s="381"/>
      <c r="AGO18" s="381"/>
      <c r="AGP18" s="381"/>
      <c r="AGQ18" s="381"/>
      <c r="AGR18" s="381"/>
      <c r="AGS18" s="381"/>
      <c r="AGT18" s="381"/>
      <c r="AGU18" s="381"/>
      <c r="AGV18" s="381"/>
      <c r="AGW18" s="381"/>
      <c r="AGX18" s="381"/>
      <c r="AGY18" s="381"/>
      <c r="AGZ18" s="381"/>
      <c r="AHA18" s="381"/>
      <c r="AHB18" s="381"/>
      <c r="AHC18" s="381"/>
      <c r="AHD18" s="381"/>
      <c r="AHE18" s="381"/>
      <c r="AHF18" s="381"/>
      <c r="AHG18" s="381"/>
      <c r="AHH18" s="381"/>
      <c r="AHI18" s="381"/>
      <c r="AHJ18" s="381"/>
      <c r="AHK18" s="381"/>
      <c r="AHL18" s="381"/>
      <c r="AHM18" s="381"/>
      <c r="AHN18" s="381"/>
      <c r="AHO18" s="381"/>
      <c r="AHP18" s="381"/>
      <c r="AHQ18" s="381"/>
      <c r="AHR18" s="381"/>
      <c r="AHS18" s="381"/>
      <c r="AHT18" s="381"/>
      <c r="AHU18" s="381"/>
      <c r="AHV18" s="381"/>
      <c r="AHW18" s="381"/>
      <c r="AHX18" s="381"/>
      <c r="AHY18" s="381"/>
      <c r="AHZ18" s="381"/>
      <c r="AIA18" s="381"/>
      <c r="AIB18" s="381"/>
      <c r="AIC18" s="381"/>
      <c r="AID18" s="381"/>
      <c r="AIE18" s="381"/>
      <c r="AIF18" s="381"/>
      <c r="AIG18" s="381"/>
      <c r="AIH18" s="381"/>
      <c r="AII18" s="381"/>
      <c r="AIJ18" s="381"/>
      <c r="AIK18" s="381"/>
      <c r="AIL18" s="381"/>
      <c r="AIM18" s="381"/>
      <c r="AIN18" s="381"/>
      <c r="AIO18" s="381"/>
      <c r="AIP18" s="381"/>
      <c r="AIQ18" s="381"/>
      <c r="AIR18" s="381"/>
      <c r="AIS18" s="381"/>
      <c r="AIT18" s="381"/>
      <c r="AIU18" s="381"/>
      <c r="AIV18" s="381"/>
      <c r="AIW18" s="381"/>
      <c r="AIX18" s="381"/>
      <c r="AIY18" s="381"/>
      <c r="AIZ18" s="381"/>
      <c r="AJA18" s="381"/>
      <c r="AJB18" s="381"/>
      <c r="AJC18" s="381"/>
      <c r="AJD18" s="381"/>
      <c r="AJE18" s="381"/>
      <c r="AJF18" s="381"/>
      <c r="AJG18" s="381"/>
      <c r="AJH18" s="381"/>
      <c r="AJI18" s="381"/>
      <c r="AJJ18" s="381"/>
      <c r="AJK18" s="381"/>
      <c r="AJL18" s="381"/>
      <c r="AJM18" s="381"/>
      <c r="AJN18" s="381"/>
      <c r="AJO18" s="381"/>
      <c r="AJP18" s="381"/>
      <c r="AJQ18" s="381"/>
      <c r="AJR18" s="381"/>
      <c r="AJS18" s="381"/>
      <c r="AJT18" s="381"/>
      <c r="AJU18" s="381"/>
      <c r="AJV18" s="381"/>
      <c r="AJW18" s="381"/>
      <c r="AJX18" s="381"/>
      <c r="AJY18" s="381"/>
      <c r="AJZ18" s="381"/>
      <c r="AKA18" s="381"/>
      <c r="AKB18" s="381"/>
      <c r="AKC18" s="381"/>
      <c r="AKD18" s="381"/>
      <c r="AKE18" s="381"/>
      <c r="AKF18" s="381"/>
      <c r="AKG18" s="381"/>
      <c r="AKH18" s="381"/>
      <c r="AKI18" s="381"/>
      <c r="AKJ18" s="381"/>
      <c r="AKK18" s="381"/>
      <c r="AKL18" s="381"/>
      <c r="AKM18" s="381"/>
      <c r="AKN18" s="381"/>
      <c r="AKO18" s="381"/>
      <c r="AKP18" s="381"/>
      <c r="AKQ18" s="381"/>
      <c r="AKR18" s="381"/>
      <c r="AKS18" s="381"/>
      <c r="AKT18" s="381"/>
      <c r="AKU18" s="381"/>
      <c r="AKV18" s="381"/>
      <c r="AKW18" s="381"/>
      <c r="AKX18" s="381"/>
      <c r="AKY18" s="381"/>
      <c r="AKZ18" s="381"/>
      <c r="ALA18" s="381"/>
      <c r="ALB18" s="381"/>
      <c r="ALC18" s="381"/>
    </row>
    <row r="19" spans="1:991" s="400" customFormat="1" ht="83.25" customHeight="1" thickBot="1" x14ac:dyDescent="0.3">
      <c r="A19" s="381"/>
      <c r="B19" s="360"/>
      <c r="C19" s="361" t="e">
        <f>J19-#REF!</f>
        <v>#REF!</v>
      </c>
      <c r="D19" s="362" t="s">
        <v>455</v>
      </c>
      <c r="E19" s="382" t="s">
        <v>456</v>
      </c>
      <c r="F19" s="383"/>
      <c r="G19" s="384"/>
      <c r="H19" s="385" t="s">
        <v>112</v>
      </c>
      <c r="I19" s="386" t="s">
        <v>457</v>
      </c>
      <c r="J19" s="387">
        <v>320000</v>
      </c>
      <c r="K19" s="388">
        <v>258810.39</v>
      </c>
      <c r="L19" s="389">
        <v>61189.61</v>
      </c>
      <c r="M19" s="390">
        <v>0</v>
      </c>
      <c r="N19" s="390">
        <v>0</v>
      </c>
      <c r="O19" s="391">
        <v>0</v>
      </c>
      <c r="P19" s="389"/>
      <c r="Q19" s="390"/>
      <c r="R19" s="390"/>
      <c r="S19" s="392"/>
      <c r="T19" s="393"/>
      <c r="U19" s="389"/>
      <c r="V19" s="390"/>
      <c r="W19" s="390"/>
      <c r="X19" s="390"/>
      <c r="Y19" s="390"/>
      <c r="Z19" s="390">
        <v>192000</v>
      </c>
      <c r="AA19" s="390"/>
      <c r="AB19" s="392"/>
      <c r="AC19" s="392"/>
      <c r="AD19" s="392"/>
      <c r="AE19" s="392"/>
      <c r="AF19" s="390"/>
      <c r="AG19" s="392"/>
      <c r="AH19" s="394"/>
      <c r="AI19" s="393"/>
      <c r="AJ19" s="389">
        <v>128000</v>
      </c>
      <c r="AK19" s="390"/>
      <c r="AL19" s="395"/>
      <c r="AM19" s="376">
        <v>0</v>
      </c>
      <c r="AN19" s="395"/>
      <c r="AO19" s="376">
        <v>0</v>
      </c>
      <c r="AP19" s="396"/>
      <c r="AQ19" s="390"/>
      <c r="AR19" s="390"/>
      <c r="AS19" s="390">
        <v>0</v>
      </c>
      <c r="AT19" s="392"/>
      <c r="AU19" s="392"/>
      <c r="AV19" s="390"/>
      <c r="AW19" s="392"/>
      <c r="AX19" s="393"/>
      <c r="AY19" s="389"/>
      <c r="AZ19" s="397"/>
      <c r="BA19" s="398"/>
      <c r="BB19" s="399" t="s">
        <v>458</v>
      </c>
      <c r="BC19" s="381"/>
      <c r="BD19" s="381"/>
      <c r="BE19" s="381"/>
      <c r="BF19" s="381"/>
      <c r="BG19" s="381"/>
      <c r="BH19" s="381"/>
      <c r="BI19" s="381"/>
      <c r="BJ19" s="381"/>
      <c r="BK19" s="381"/>
      <c r="BL19" s="381"/>
      <c r="BM19" s="381"/>
      <c r="BN19" s="381"/>
      <c r="BO19" s="381"/>
      <c r="BP19" s="381"/>
      <c r="BQ19" s="381"/>
      <c r="BR19" s="381"/>
      <c r="BS19" s="381"/>
      <c r="BT19" s="381"/>
      <c r="BU19" s="381"/>
      <c r="BV19" s="381"/>
      <c r="BW19" s="381"/>
      <c r="BX19" s="381"/>
      <c r="BY19" s="381"/>
      <c r="BZ19" s="381"/>
      <c r="CA19" s="381"/>
      <c r="CB19" s="381"/>
      <c r="CC19" s="381"/>
      <c r="CD19" s="381"/>
      <c r="CE19" s="381"/>
      <c r="CF19" s="381"/>
      <c r="CG19" s="381"/>
      <c r="CH19" s="381"/>
      <c r="CI19" s="381"/>
      <c r="CJ19" s="381"/>
      <c r="CK19" s="381"/>
      <c r="CL19" s="381"/>
      <c r="CM19" s="381"/>
      <c r="CN19" s="381"/>
      <c r="CO19" s="381"/>
      <c r="CP19" s="381"/>
      <c r="CQ19" s="381"/>
      <c r="CR19" s="381"/>
      <c r="CS19" s="381"/>
      <c r="CT19" s="381"/>
      <c r="CU19" s="381"/>
      <c r="CV19" s="381"/>
      <c r="CW19" s="381"/>
      <c r="CX19" s="381"/>
      <c r="CY19" s="381"/>
      <c r="CZ19" s="381"/>
      <c r="DA19" s="381"/>
      <c r="DB19" s="381"/>
      <c r="DC19" s="381"/>
      <c r="DD19" s="381"/>
      <c r="DE19" s="381"/>
      <c r="DF19" s="381"/>
      <c r="DG19" s="381"/>
      <c r="DH19" s="381"/>
      <c r="DI19" s="381"/>
      <c r="DJ19" s="381"/>
      <c r="DK19" s="381"/>
      <c r="DL19" s="381"/>
      <c r="DM19" s="381"/>
      <c r="DN19" s="381"/>
      <c r="DO19" s="381"/>
      <c r="DP19" s="381"/>
      <c r="DQ19" s="381"/>
      <c r="DR19" s="381"/>
      <c r="DS19" s="381"/>
      <c r="DT19" s="381"/>
      <c r="DU19" s="381"/>
      <c r="DV19" s="381"/>
      <c r="DW19" s="381"/>
      <c r="DX19" s="381"/>
      <c r="DY19" s="381"/>
      <c r="DZ19" s="381"/>
      <c r="EA19" s="381"/>
      <c r="EB19" s="381"/>
      <c r="EC19" s="381"/>
      <c r="ED19" s="381"/>
      <c r="EE19" s="381"/>
      <c r="EF19" s="381"/>
      <c r="EG19" s="381"/>
      <c r="EH19" s="381"/>
      <c r="EI19" s="381"/>
      <c r="EJ19" s="381"/>
      <c r="EK19" s="381"/>
      <c r="EL19" s="381"/>
      <c r="EM19" s="381"/>
      <c r="EN19" s="381"/>
      <c r="EO19" s="381"/>
      <c r="EP19" s="381"/>
      <c r="EQ19" s="381"/>
      <c r="ER19" s="381"/>
      <c r="ES19" s="381"/>
      <c r="ET19" s="381"/>
      <c r="EU19" s="381"/>
      <c r="EV19" s="381"/>
      <c r="EW19" s="381"/>
      <c r="EX19" s="381"/>
      <c r="EY19" s="381"/>
      <c r="EZ19" s="381"/>
      <c r="FA19" s="381"/>
      <c r="FB19" s="381"/>
      <c r="FC19" s="381"/>
      <c r="FD19" s="381"/>
      <c r="FE19" s="381"/>
      <c r="FF19" s="381"/>
      <c r="FG19" s="381"/>
      <c r="FH19" s="381"/>
      <c r="FI19" s="381"/>
      <c r="FJ19" s="381"/>
      <c r="FK19" s="381"/>
      <c r="FL19" s="381"/>
      <c r="FM19" s="381"/>
      <c r="FN19" s="381"/>
      <c r="FO19" s="381"/>
      <c r="FP19" s="381"/>
      <c r="FQ19" s="381"/>
      <c r="FR19" s="381"/>
      <c r="FS19" s="381"/>
      <c r="FT19" s="381"/>
      <c r="FU19" s="381"/>
      <c r="FV19" s="381"/>
      <c r="FW19" s="381"/>
      <c r="FX19" s="381"/>
      <c r="FY19" s="381"/>
      <c r="FZ19" s="381"/>
      <c r="GA19" s="381"/>
      <c r="GB19" s="381"/>
      <c r="GC19" s="381"/>
      <c r="GD19" s="381"/>
      <c r="GE19" s="381"/>
      <c r="GF19" s="381"/>
      <c r="GG19" s="381"/>
      <c r="GH19" s="381"/>
      <c r="GI19" s="381"/>
      <c r="GJ19" s="381"/>
      <c r="GK19" s="381"/>
      <c r="GL19" s="381"/>
      <c r="GM19" s="381"/>
      <c r="GN19" s="381"/>
      <c r="GO19" s="381"/>
      <c r="GP19" s="381"/>
      <c r="GQ19" s="381"/>
      <c r="GR19" s="381"/>
      <c r="GS19" s="381"/>
      <c r="GT19" s="381"/>
      <c r="GU19" s="381"/>
      <c r="GV19" s="381"/>
      <c r="GW19" s="381"/>
      <c r="GX19" s="381"/>
      <c r="GY19" s="381"/>
      <c r="GZ19" s="381"/>
      <c r="HA19" s="381"/>
      <c r="HB19" s="381"/>
      <c r="HC19" s="381"/>
      <c r="HD19" s="381"/>
      <c r="HE19" s="381"/>
      <c r="HF19" s="381"/>
      <c r="HG19" s="381"/>
      <c r="HH19" s="381"/>
      <c r="HI19" s="381"/>
      <c r="HJ19" s="381"/>
      <c r="HK19" s="381"/>
      <c r="HL19" s="381"/>
      <c r="HM19" s="381"/>
      <c r="HN19" s="381"/>
      <c r="HO19" s="381"/>
      <c r="HP19" s="381"/>
      <c r="HQ19" s="381"/>
      <c r="HR19" s="381"/>
      <c r="HS19" s="381"/>
      <c r="HT19" s="381"/>
      <c r="HU19" s="381"/>
      <c r="HV19" s="381"/>
      <c r="HW19" s="381"/>
      <c r="HX19" s="381"/>
      <c r="HY19" s="381"/>
      <c r="HZ19" s="381"/>
      <c r="IA19" s="381"/>
      <c r="IB19" s="381"/>
      <c r="IC19" s="381"/>
      <c r="ID19" s="381"/>
      <c r="IE19" s="381"/>
      <c r="IF19" s="381"/>
      <c r="IG19" s="381"/>
      <c r="IH19" s="381"/>
      <c r="II19" s="381"/>
      <c r="IJ19" s="381"/>
      <c r="IK19" s="381"/>
      <c r="IL19" s="381"/>
      <c r="IM19" s="381"/>
      <c r="IN19" s="381"/>
      <c r="IO19" s="381"/>
      <c r="IP19" s="381"/>
      <c r="IQ19" s="381"/>
      <c r="IR19" s="381"/>
      <c r="IS19" s="381"/>
      <c r="IT19" s="381"/>
      <c r="IU19" s="381"/>
      <c r="IV19" s="381"/>
      <c r="IW19" s="381"/>
      <c r="IX19" s="381"/>
      <c r="IY19" s="381"/>
      <c r="IZ19" s="381"/>
      <c r="JA19" s="381"/>
      <c r="JB19" s="381"/>
      <c r="JC19" s="381"/>
      <c r="JD19" s="381"/>
      <c r="JE19" s="381"/>
      <c r="JF19" s="381"/>
      <c r="JG19" s="381"/>
      <c r="JH19" s="381"/>
      <c r="JI19" s="381"/>
      <c r="JJ19" s="381"/>
      <c r="JK19" s="381"/>
      <c r="JL19" s="381"/>
      <c r="JM19" s="381"/>
      <c r="JN19" s="381"/>
      <c r="JO19" s="381"/>
      <c r="JP19" s="381"/>
      <c r="JQ19" s="381"/>
      <c r="JR19" s="381"/>
      <c r="JS19" s="381"/>
      <c r="JT19" s="381"/>
      <c r="JU19" s="381"/>
      <c r="JV19" s="381"/>
      <c r="JW19" s="381"/>
      <c r="JX19" s="381"/>
      <c r="JY19" s="381"/>
      <c r="JZ19" s="381"/>
      <c r="KA19" s="381"/>
      <c r="KB19" s="381"/>
      <c r="KC19" s="381"/>
      <c r="KD19" s="381"/>
      <c r="KE19" s="381"/>
      <c r="KF19" s="381"/>
      <c r="KG19" s="381"/>
      <c r="KH19" s="381"/>
      <c r="KI19" s="381"/>
      <c r="KJ19" s="381"/>
      <c r="KK19" s="381"/>
      <c r="KL19" s="381"/>
      <c r="KM19" s="381"/>
      <c r="KN19" s="381"/>
      <c r="KO19" s="381"/>
      <c r="KP19" s="381"/>
      <c r="KQ19" s="381"/>
      <c r="KR19" s="381"/>
      <c r="KS19" s="381"/>
      <c r="KT19" s="381"/>
      <c r="KU19" s="381"/>
      <c r="KV19" s="381"/>
      <c r="KW19" s="381"/>
      <c r="KX19" s="381"/>
      <c r="KY19" s="381"/>
      <c r="KZ19" s="381"/>
      <c r="LA19" s="381"/>
      <c r="LB19" s="381"/>
      <c r="LC19" s="381"/>
      <c r="LD19" s="381"/>
      <c r="LE19" s="381"/>
      <c r="LF19" s="381"/>
      <c r="LG19" s="381"/>
      <c r="LH19" s="381"/>
      <c r="LI19" s="381"/>
      <c r="LJ19" s="381"/>
      <c r="LK19" s="381"/>
      <c r="LL19" s="381"/>
      <c r="LM19" s="381"/>
      <c r="LN19" s="381"/>
      <c r="LO19" s="381"/>
      <c r="LP19" s="381"/>
      <c r="LQ19" s="381"/>
      <c r="LR19" s="381"/>
      <c r="LS19" s="381"/>
      <c r="LT19" s="381"/>
      <c r="LU19" s="381"/>
      <c r="LV19" s="381"/>
      <c r="LW19" s="381"/>
      <c r="LX19" s="381"/>
      <c r="LY19" s="381"/>
      <c r="LZ19" s="381"/>
      <c r="MA19" s="381"/>
      <c r="MB19" s="381"/>
      <c r="MC19" s="381"/>
      <c r="MD19" s="381"/>
      <c r="ME19" s="381"/>
      <c r="MF19" s="381"/>
      <c r="MG19" s="381"/>
      <c r="MH19" s="381"/>
      <c r="MI19" s="381"/>
      <c r="MJ19" s="381"/>
      <c r="MK19" s="381"/>
      <c r="ML19" s="381"/>
      <c r="MM19" s="381"/>
      <c r="MN19" s="381"/>
      <c r="MO19" s="381"/>
      <c r="MP19" s="381"/>
      <c r="MQ19" s="381"/>
      <c r="MR19" s="381"/>
      <c r="MS19" s="381"/>
      <c r="MT19" s="381"/>
      <c r="MU19" s="381"/>
      <c r="MV19" s="381"/>
      <c r="MW19" s="381"/>
      <c r="MX19" s="381"/>
      <c r="MY19" s="381"/>
      <c r="MZ19" s="381"/>
      <c r="NA19" s="381"/>
      <c r="NB19" s="381"/>
      <c r="NC19" s="381"/>
      <c r="ND19" s="381"/>
      <c r="NE19" s="381"/>
      <c r="NF19" s="381"/>
      <c r="NG19" s="381"/>
      <c r="NH19" s="381"/>
      <c r="NI19" s="381"/>
      <c r="NJ19" s="381"/>
      <c r="NK19" s="381"/>
      <c r="NL19" s="381"/>
      <c r="NM19" s="381"/>
      <c r="NN19" s="381"/>
      <c r="NO19" s="381"/>
      <c r="NP19" s="381"/>
      <c r="NQ19" s="381"/>
      <c r="NR19" s="381"/>
      <c r="NS19" s="381"/>
      <c r="NT19" s="381"/>
      <c r="NU19" s="381"/>
      <c r="NV19" s="381"/>
      <c r="NW19" s="381"/>
      <c r="NX19" s="381"/>
      <c r="NY19" s="381"/>
      <c r="NZ19" s="381"/>
      <c r="OA19" s="381"/>
      <c r="OB19" s="381"/>
      <c r="OC19" s="381"/>
      <c r="OD19" s="381"/>
      <c r="OE19" s="381"/>
      <c r="OF19" s="381"/>
      <c r="OG19" s="381"/>
      <c r="OH19" s="381"/>
      <c r="OI19" s="381"/>
      <c r="OJ19" s="381"/>
      <c r="OK19" s="381"/>
      <c r="OL19" s="381"/>
      <c r="OM19" s="381"/>
      <c r="ON19" s="381"/>
      <c r="OO19" s="381"/>
      <c r="OP19" s="381"/>
      <c r="OQ19" s="381"/>
      <c r="OR19" s="381"/>
      <c r="OS19" s="381"/>
      <c r="OT19" s="381"/>
      <c r="OU19" s="381"/>
      <c r="OV19" s="381"/>
      <c r="OW19" s="381"/>
      <c r="OX19" s="381"/>
      <c r="OY19" s="381"/>
      <c r="OZ19" s="381"/>
      <c r="PA19" s="381"/>
      <c r="PB19" s="381"/>
      <c r="PC19" s="381"/>
      <c r="PD19" s="381"/>
      <c r="PE19" s="381"/>
      <c r="PF19" s="381"/>
      <c r="PG19" s="381"/>
      <c r="PH19" s="381"/>
      <c r="PI19" s="381"/>
      <c r="PJ19" s="381"/>
      <c r="PK19" s="381"/>
      <c r="PL19" s="381"/>
      <c r="PM19" s="381"/>
      <c r="PN19" s="381"/>
      <c r="PO19" s="381"/>
      <c r="PP19" s="381"/>
      <c r="PQ19" s="381"/>
      <c r="PR19" s="381"/>
      <c r="PS19" s="381"/>
      <c r="PT19" s="381"/>
      <c r="PU19" s="381"/>
      <c r="PV19" s="381"/>
      <c r="PW19" s="381"/>
      <c r="PX19" s="381"/>
      <c r="PY19" s="381"/>
      <c r="PZ19" s="381"/>
      <c r="QA19" s="381"/>
      <c r="QB19" s="381"/>
      <c r="QC19" s="381"/>
      <c r="QD19" s="381"/>
      <c r="QE19" s="381"/>
      <c r="QF19" s="381"/>
      <c r="QG19" s="381"/>
      <c r="QH19" s="381"/>
      <c r="QI19" s="381"/>
      <c r="QJ19" s="381"/>
      <c r="QK19" s="381"/>
      <c r="QL19" s="381"/>
      <c r="QM19" s="381"/>
      <c r="QN19" s="381"/>
      <c r="QO19" s="381"/>
      <c r="QP19" s="381"/>
      <c r="QQ19" s="381"/>
      <c r="QR19" s="381"/>
      <c r="QS19" s="381"/>
      <c r="QT19" s="381"/>
      <c r="QU19" s="381"/>
      <c r="QV19" s="381"/>
      <c r="QW19" s="381"/>
      <c r="QX19" s="381"/>
      <c r="QY19" s="381"/>
      <c r="QZ19" s="381"/>
      <c r="RA19" s="381"/>
      <c r="RB19" s="381"/>
      <c r="RC19" s="381"/>
      <c r="RD19" s="381"/>
      <c r="RE19" s="381"/>
      <c r="RF19" s="381"/>
      <c r="RG19" s="381"/>
      <c r="RH19" s="381"/>
      <c r="RI19" s="381"/>
      <c r="RJ19" s="381"/>
      <c r="RK19" s="381"/>
      <c r="RL19" s="381"/>
      <c r="RM19" s="381"/>
      <c r="RN19" s="381"/>
      <c r="RO19" s="381"/>
      <c r="RP19" s="381"/>
      <c r="RQ19" s="381"/>
      <c r="RR19" s="381"/>
      <c r="RS19" s="381"/>
      <c r="RT19" s="381"/>
      <c r="RU19" s="381"/>
      <c r="RV19" s="381"/>
      <c r="RW19" s="381"/>
      <c r="RX19" s="381"/>
      <c r="RY19" s="381"/>
      <c r="RZ19" s="381"/>
      <c r="SA19" s="381"/>
      <c r="SB19" s="381"/>
      <c r="SC19" s="381"/>
      <c r="SD19" s="381"/>
      <c r="SE19" s="381"/>
      <c r="SF19" s="381"/>
      <c r="SG19" s="381"/>
      <c r="SH19" s="381"/>
      <c r="SI19" s="381"/>
      <c r="SJ19" s="381"/>
      <c r="SK19" s="381"/>
      <c r="SL19" s="381"/>
      <c r="SM19" s="381"/>
      <c r="SN19" s="381"/>
      <c r="SO19" s="381"/>
      <c r="SP19" s="381"/>
      <c r="SQ19" s="381"/>
      <c r="SR19" s="381"/>
      <c r="SS19" s="381"/>
      <c r="ST19" s="381"/>
      <c r="SU19" s="381"/>
      <c r="SV19" s="381"/>
      <c r="SW19" s="381"/>
      <c r="SX19" s="381"/>
      <c r="SY19" s="381"/>
      <c r="SZ19" s="381"/>
      <c r="TA19" s="381"/>
      <c r="TB19" s="381"/>
      <c r="TC19" s="381"/>
      <c r="TD19" s="381"/>
      <c r="TE19" s="381"/>
      <c r="TF19" s="381"/>
      <c r="TG19" s="381"/>
      <c r="TH19" s="381"/>
      <c r="TI19" s="381"/>
      <c r="TJ19" s="381"/>
      <c r="TK19" s="381"/>
      <c r="TL19" s="381"/>
      <c r="TM19" s="381"/>
      <c r="TN19" s="381"/>
      <c r="TO19" s="381"/>
      <c r="TP19" s="381"/>
      <c r="TQ19" s="381"/>
      <c r="TR19" s="381"/>
      <c r="TS19" s="381"/>
      <c r="TT19" s="381"/>
      <c r="TU19" s="381"/>
      <c r="TV19" s="381"/>
      <c r="TW19" s="381"/>
      <c r="TX19" s="381"/>
      <c r="TY19" s="381"/>
      <c r="TZ19" s="381"/>
      <c r="UA19" s="381"/>
      <c r="UB19" s="381"/>
      <c r="UC19" s="381"/>
      <c r="UD19" s="381"/>
      <c r="UE19" s="381"/>
      <c r="UF19" s="381"/>
      <c r="UG19" s="381"/>
      <c r="UH19" s="381"/>
      <c r="UI19" s="381"/>
      <c r="UJ19" s="381"/>
      <c r="UK19" s="381"/>
      <c r="UL19" s="381"/>
      <c r="UM19" s="381"/>
      <c r="UN19" s="381"/>
      <c r="UO19" s="381"/>
      <c r="UP19" s="381"/>
      <c r="UQ19" s="381"/>
      <c r="UR19" s="381"/>
      <c r="US19" s="381"/>
      <c r="UT19" s="381"/>
      <c r="UU19" s="381"/>
      <c r="UV19" s="381"/>
      <c r="UW19" s="381"/>
      <c r="UX19" s="381"/>
      <c r="UY19" s="381"/>
      <c r="UZ19" s="381"/>
      <c r="VA19" s="381"/>
      <c r="VB19" s="381"/>
      <c r="VC19" s="381"/>
      <c r="VD19" s="381"/>
      <c r="VE19" s="381"/>
      <c r="VF19" s="381"/>
      <c r="VG19" s="381"/>
      <c r="VH19" s="381"/>
      <c r="VI19" s="381"/>
      <c r="VJ19" s="381"/>
      <c r="VK19" s="381"/>
      <c r="VL19" s="381"/>
      <c r="VM19" s="381"/>
      <c r="VN19" s="381"/>
      <c r="VO19" s="381"/>
      <c r="VP19" s="381"/>
      <c r="VQ19" s="381"/>
      <c r="VR19" s="381"/>
      <c r="VS19" s="381"/>
      <c r="VT19" s="381"/>
      <c r="VU19" s="381"/>
      <c r="VV19" s="381"/>
      <c r="VW19" s="381"/>
      <c r="VX19" s="381"/>
      <c r="VY19" s="381"/>
      <c r="VZ19" s="381"/>
      <c r="WA19" s="381"/>
      <c r="WB19" s="381"/>
      <c r="WC19" s="381"/>
      <c r="WD19" s="381"/>
      <c r="WE19" s="381"/>
      <c r="WF19" s="381"/>
      <c r="WG19" s="381"/>
      <c r="WH19" s="381"/>
      <c r="WI19" s="381"/>
      <c r="WJ19" s="381"/>
      <c r="WK19" s="381"/>
      <c r="WL19" s="381"/>
      <c r="WM19" s="381"/>
      <c r="WN19" s="381"/>
      <c r="WO19" s="381"/>
      <c r="WP19" s="381"/>
      <c r="WQ19" s="381"/>
      <c r="WR19" s="381"/>
      <c r="WS19" s="381"/>
      <c r="WT19" s="381"/>
      <c r="WU19" s="381"/>
      <c r="WV19" s="381"/>
      <c r="WW19" s="381"/>
      <c r="WX19" s="381"/>
      <c r="WY19" s="381"/>
      <c r="WZ19" s="381"/>
      <c r="XA19" s="381"/>
      <c r="XB19" s="381"/>
      <c r="XC19" s="381"/>
      <c r="XD19" s="381"/>
      <c r="XE19" s="381"/>
      <c r="XF19" s="381"/>
      <c r="XG19" s="381"/>
      <c r="XH19" s="381"/>
      <c r="XI19" s="381"/>
      <c r="XJ19" s="381"/>
      <c r="XK19" s="381"/>
      <c r="XL19" s="381"/>
      <c r="XM19" s="381"/>
      <c r="XN19" s="381"/>
      <c r="XO19" s="381"/>
      <c r="XP19" s="381"/>
      <c r="XQ19" s="381"/>
      <c r="XR19" s="381"/>
      <c r="XS19" s="381"/>
      <c r="XT19" s="381"/>
      <c r="XU19" s="381"/>
      <c r="XV19" s="381"/>
      <c r="XW19" s="381"/>
      <c r="XX19" s="381"/>
      <c r="XY19" s="381"/>
      <c r="XZ19" s="381"/>
      <c r="YA19" s="381"/>
      <c r="YB19" s="381"/>
      <c r="YC19" s="381"/>
      <c r="YD19" s="381"/>
      <c r="YE19" s="381"/>
      <c r="YF19" s="381"/>
      <c r="YG19" s="381"/>
      <c r="YH19" s="381"/>
      <c r="YI19" s="381"/>
      <c r="YJ19" s="381"/>
      <c r="YK19" s="381"/>
      <c r="YL19" s="381"/>
      <c r="YM19" s="381"/>
      <c r="YN19" s="381"/>
      <c r="YO19" s="381"/>
      <c r="YP19" s="381"/>
      <c r="YQ19" s="381"/>
      <c r="YR19" s="381"/>
      <c r="YS19" s="381"/>
      <c r="YT19" s="381"/>
      <c r="YU19" s="381"/>
      <c r="YV19" s="381"/>
      <c r="YW19" s="381"/>
      <c r="YX19" s="381"/>
      <c r="YY19" s="381"/>
      <c r="YZ19" s="381"/>
      <c r="ZA19" s="381"/>
      <c r="ZB19" s="381"/>
      <c r="ZC19" s="381"/>
      <c r="ZD19" s="381"/>
      <c r="ZE19" s="381"/>
      <c r="ZF19" s="381"/>
      <c r="ZG19" s="381"/>
      <c r="ZH19" s="381"/>
      <c r="ZI19" s="381"/>
      <c r="ZJ19" s="381"/>
      <c r="ZK19" s="381"/>
      <c r="ZL19" s="381"/>
      <c r="ZM19" s="381"/>
      <c r="ZN19" s="381"/>
      <c r="ZO19" s="381"/>
      <c r="ZP19" s="381"/>
      <c r="ZQ19" s="381"/>
      <c r="ZR19" s="381"/>
      <c r="ZS19" s="381"/>
      <c r="ZT19" s="381"/>
      <c r="ZU19" s="381"/>
      <c r="ZV19" s="381"/>
      <c r="ZW19" s="381"/>
      <c r="ZX19" s="381"/>
      <c r="ZY19" s="381"/>
      <c r="ZZ19" s="381"/>
      <c r="AAA19" s="381"/>
      <c r="AAB19" s="381"/>
      <c r="AAC19" s="381"/>
      <c r="AAD19" s="381"/>
      <c r="AAE19" s="381"/>
      <c r="AAF19" s="381"/>
      <c r="AAG19" s="381"/>
      <c r="AAH19" s="381"/>
      <c r="AAI19" s="381"/>
      <c r="AAJ19" s="381"/>
      <c r="AAK19" s="381"/>
      <c r="AAL19" s="381"/>
      <c r="AAM19" s="381"/>
      <c r="AAN19" s="381"/>
      <c r="AAO19" s="381"/>
      <c r="AAP19" s="381"/>
      <c r="AAQ19" s="381"/>
      <c r="AAR19" s="381"/>
      <c r="AAS19" s="381"/>
      <c r="AAT19" s="381"/>
      <c r="AAU19" s="381"/>
      <c r="AAV19" s="381"/>
      <c r="AAW19" s="381"/>
      <c r="AAX19" s="381"/>
      <c r="AAY19" s="381"/>
      <c r="AAZ19" s="381"/>
      <c r="ABA19" s="381"/>
      <c r="ABB19" s="381"/>
      <c r="ABC19" s="381"/>
      <c r="ABD19" s="381"/>
      <c r="ABE19" s="381"/>
      <c r="ABF19" s="381"/>
      <c r="ABG19" s="381"/>
      <c r="ABH19" s="381"/>
      <c r="ABI19" s="381"/>
      <c r="ABJ19" s="381"/>
      <c r="ABK19" s="381"/>
      <c r="ABL19" s="381"/>
      <c r="ABM19" s="381"/>
      <c r="ABN19" s="381"/>
      <c r="ABO19" s="381"/>
      <c r="ABP19" s="381"/>
      <c r="ABQ19" s="381"/>
      <c r="ABR19" s="381"/>
      <c r="ABS19" s="381"/>
      <c r="ABT19" s="381"/>
      <c r="ABU19" s="381"/>
      <c r="ABV19" s="381"/>
      <c r="ABW19" s="381"/>
      <c r="ABX19" s="381"/>
      <c r="ABY19" s="381"/>
      <c r="ABZ19" s="381"/>
      <c r="ACA19" s="381"/>
      <c r="ACB19" s="381"/>
      <c r="ACC19" s="381"/>
      <c r="ACD19" s="381"/>
      <c r="ACE19" s="381"/>
      <c r="ACF19" s="381"/>
      <c r="ACG19" s="381"/>
      <c r="ACH19" s="381"/>
      <c r="ACI19" s="381"/>
      <c r="ACJ19" s="381"/>
      <c r="ACK19" s="381"/>
      <c r="ACL19" s="381"/>
      <c r="ACM19" s="381"/>
      <c r="ACN19" s="381"/>
      <c r="ACO19" s="381"/>
      <c r="ACP19" s="381"/>
      <c r="ACQ19" s="381"/>
      <c r="ACR19" s="381"/>
      <c r="ACS19" s="381"/>
      <c r="ACT19" s="381"/>
      <c r="ACU19" s="381"/>
      <c r="ACV19" s="381"/>
      <c r="ACW19" s="381"/>
      <c r="ACX19" s="381"/>
      <c r="ACY19" s="381"/>
      <c r="ACZ19" s="381"/>
      <c r="ADA19" s="381"/>
      <c r="ADB19" s="381"/>
      <c r="ADC19" s="381"/>
      <c r="ADD19" s="381"/>
      <c r="ADE19" s="381"/>
      <c r="ADF19" s="381"/>
      <c r="ADG19" s="381"/>
      <c r="ADH19" s="381"/>
      <c r="ADI19" s="381"/>
      <c r="ADJ19" s="381"/>
      <c r="ADK19" s="381"/>
      <c r="ADL19" s="381"/>
      <c r="ADM19" s="381"/>
      <c r="ADN19" s="381"/>
      <c r="ADO19" s="381"/>
      <c r="ADP19" s="381"/>
      <c r="ADQ19" s="381"/>
      <c r="ADR19" s="381"/>
      <c r="ADS19" s="381"/>
      <c r="ADT19" s="381"/>
      <c r="ADU19" s="381"/>
      <c r="ADV19" s="381"/>
      <c r="ADW19" s="381"/>
      <c r="ADX19" s="381"/>
      <c r="ADY19" s="381"/>
      <c r="ADZ19" s="381"/>
      <c r="AEA19" s="381"/>
      <c r="AEB19" s="381"/>
      <c r="AEC19" s="381"/>
      <c r="AED19" s="381"/>
      <c r="AEE19" s="381"/>
      <c r="AEF19" s="381"/>
      <c r="AEG19" s="381"/>
      <c r="AEH19" s="381"/>
      <c r="AEI19" s="381"/>
      <c r="AEJ19" s="381"/>
      <c r="AEK19" s="381"/>
      <c r="AEL19" s="381"/>
      <c r="AEM19" s="381"/>
      <c r="AEN19" s="381"/>
      <c r="AEO19" s="381"/>
      <c r="AEP19" s="381"/>
      <c r="AEQ19" s="381"/>
      <c r="AER19" s="381"/>
      <c r="AES19" s="381"/>
      <c r="AET19" s="381"/>
      <c r="AEU19" s="381"/>
      <c r="AEV19" s="381"/>
      <c r="AEW19" s="381"/>
      <c r="AEX19" s="381"/>
      <c r="AEY19" s="381"/>
      <c r="AEZ19" s="381"/>
      <c r="AFA19" s="381"/>
      <c r="AFB19" s="381"/>
      <c r="AFC19" s="381"/>
      <c r="AFD19" s="381"/>
      <c r="AFE19" s="381"/>
      <c r="AFF19" s="381"/>
      <c r="AFG19" s="381"/>
      <c r="AFH19" s="381"/>
      <c r="AFI19" s="381"/>
      <c r="AFJ19" s="381"/>
      <c r="AFK19" s="381"/>
      <c r="AFL19" s="381"/>
      <c r="AFM19" s="381"/>
      <c r="AFN19" s="381"/>
      <c r="AFO19" s="381"/>
      <c r="AFP19" s="381"/>
      <c r="AFQ19" s="381"/>
      <c r="AFR19" s="381"/>
      <c r="AFS19" s="381"/>
      <c r="AFT19" s="381"/>
      <c r="AFU19" s="381"/>
      <c r="AFV19" s="381"/>
      <c r="AFW19" s="381"/>
      <c r="AFX19" s="381"/>
      <c r="AFY19" s="381"/>
      <c r="AFZ19" s="381"/>
      <c r="AGA19" s="381"/>
      <c r="AGB19" s="381"/>
      <c r="AGC19" s="381"/>
      <c r="AGD19" s="381"/>
      <c r="AGE19" s="381"/>
      <c r="AGF19" s="381"/>
      <c r="AGG19" s="381"/>
      <c r="AGH19" s="381"/>
      <c r="AGI19" s="381"/>
      <c r="AGJ19" s="381"/>
      <c r="AGK19" s="381"/>
      <c r="AGL19" s="381"/>
      <c r="AGM19" s="381"/>
      <c r="AGN19" s="381"/>
      <c r="AGO19" s="381"/>
      <c r="AGP19" s="381"/>
      <c r="AGQ19" s="381"/>
      <c r="AGR19" s="381"/>
      <c r="AGS19" s="381"/>
      <c r="AGT19" s="381"/>
      <c r="AGU19" s="381"/>
      <c r="AGV19" s="381"/>
      <c r="AGW19" s="381"/>
      <c r="AGX19" s="381"/>
      <c r="AGY19" s="381"/>
      <c r="AGZ19" s="381"/>
      <c r="AHA19" s="381"/>
      <c r="AHB19" s="381"/>
      <c r="AHC19" s="381"/>
      <c r="AHD19" s="381"/>
      <c r="AHE19" s="381"/>
      <c r="AHF19" s="381"/>
      <c r="AHG19" s="381"/>
      <c r="AHH19" s="381"/>
      <c r="AHI19" s="381"/>
      <c r="AHJ19" s="381"/>
      <c r="AHK19" s="381"/>
      <c r="AHL19" s="381"/>
      <c r="AHM19" s="381"/>
      <c r="AHN19" s="381"/>
      <c r="AHO19" s="381"/>
      <c r="AHP19" s="381"/>
      <c r="AHQ19" s="381"/>
      <c r="AHR19" s="381"/>
      <c r="AHS19" s="381"/>
      <c r="AHT19" s="381"/>
      <c r="AHU19" s="381"/>
      <c r="AHV19" s="381"/>
      <c r="AHW19" s="381"/>
      <c r="AHX19" s="381"/>
      <c r="AHY19" s="381"/>
      <c r="AHZ19" s="381"/>
      <c r="AIA19" s="381"/>
      <c r="AIB19" s="381"/>
      <c r="AIC19" s="381"/>
      <c r="AID19" s="381"/>
      <c r="AIE19" s="381"/>
      <c r="AIF19" s="381"/>
      <c r="AIG19" s="381"/>
      <c r="AIH19" s="381"/>
      <c r="AII19" s="381"/>
      <c r="AIJ19" s="381"/>
      <c r="AIK19" s="381"/>
      <c r="AIL19" s="381"/>
      <c r="AIM19" s="381"/>
      <c r="AIN19" s="381"/>
      <c r="AIO19" s="381"/>
      <c r="AIP19" s="381"/>
      <c r="AIQ19" s="381"/>
      <c r="AIR19" s="381"/>
      <c r="AIS19" s="381"/>
      <c r="AIT19" s="381"/>
      <c r="AIU19" s="381"/>
      <c r="AIV19" s="381"/>
      <c r="AIW19" s="381"/>
      <c r="AIX19" s="381"/>
      <c r="AIY19" s="381"/>
      <c r="AIZ19" s="381"/>
      <c r="AJA19" s="381"/>
      <c r="AJB19" s="381"/>
      <c r="AJC19" s="381"/>
      <c r="AJD19" s="381"/>
      <c r="AJE19" s="381"/>
      <c r="AJF19" s="381"/>
      <c r="AJG19" s="381"/>
      <c r="AJH19" s="381"/>
      <c r="AJI19" s="381"/>
      <c r="AJJ19" s="381"/>
      <c r="AJK19" s="381"/>
      <c r="AJL19" s="381"/>
      <c r="AJM19" s="381"/>
      <c r="AJN19" s="381"/>
      <c r="AJO19" s="381"/>
      <c r="AJP19" s="381"/>
      <c r="AJQ19" s="381"/>
      <c r="AJR19" s="381"/>
      <c r="AJS19" s="381"/>
      <c r="AJT19" s="381"/>
      <c r="AJU19" s="381"/>
      <c r="AJV19" s="381"/>
      <c r="AJW19" s="381"/>
      <c r="AJX19" s="381"/>
      <c r="AJY19" s="381"/>
      <c r="AJZ19" s="381"/>
      <c r="AKA19" s="381"/>
      <c r="AKB19" s="381"/>
      <c r="AKC19" s="381"/>
      <c r="AKD19" s="381"/>
      <c r="AKE19" s="381"/>
      <c r="AKF19" s="381"/>
      <c r="AKG19" s="381"/>
      <c r="AKH19" s="381"/>
      <c r="AKI19" s="381"/>
      <c r="AKJ19" s="381"/>
      <c r="AKK19" s="381"/>
      <c r="AKL19" s="381"/>
      <c r="AKM19" s="381"/>
      <c r="AKN19" s="381"/>
      <c r="AKO19" s="381"/>
      <c r="AKP19" s="381"/>
      <c r="AKQ19" s="381"/>
      <c r="AKR19" s="381"/>
      <c r="AKS19" s="381"/>
      <c r="AKT19" s="381"/>
      <c r="AKU19" s="381"/>
      <c r="AKV19" s="381"/>
      <c r="AKW19" s="381"/>
      <c r="AKX19" s="381"/>
      <c r="AKY19" s="381"/>
      <c r="AKZ19" s="381"/>
      <c r="ALA19" s="381"/>
      <c r="ALB19" s="381"/>
      <c r="ALC19" s="381"/>
    </row>
    <row r="20" spans="1:991" s="400" customFormat="1" ht="150.75" customHeight="1" thickBot="1" x14ac:dyDescent="0.3">
      <c r="A20" s="381"/>
      <c r="B20" s="360"/>
      <c r="C20" s="361" t="e">
        <f>J20-#REF!</f>
        <v>#REF!</v>
      </c>
      <c r="D20" s="362" t="s">
        <v>459</v>
      </c>
      <c r="E20" s="382"/>
      <c r="F20" s="383">
        <v>60601</v>
      </c>
      <c r="G20" s="384"/>
      <c r="H20" s="385" t="s">
        <v>112</v>
      </c>
      <c r="I20" s="386" t="s">
        <v>460</v>
      </c>
      <c r="J20" s="387">
        <v>182111.6</v>
      </c>
      <c r="K20" s="388">
        <v>182111.6</v>
      </c>
      <c r="L20" s="389">
        <v>0</v>
      </c>
      <c r="M20" s="390">
        <v>0</v>
      </c>
      <c r="N20" s="390">
        <v>0</v>
      </c>
      <c r="O20" s="391">
        <v>0</v>
      </c>
      <c r="P20" s="389"/>
      <c r="Q20" s="390"/>
      <c r="R20" s="390"/>
      <c r="S20" s="392"/>
      <c r="T20" s="393"/>
      <c r="U20" s="389"/>
      <c r="V20" s="390"/>
      <c r="W20" s="390"/>
      <c r="X20" s="390"/>
      <c r="Y20" s="390"/>
      <c r="Z20" s="390"/>
      <c r="AA20" s="390"/>
      <c r="AB20" s="392"/>
      <c r="AC20" s="392"/>
      <c r="AD20" s="392"/>
      <c r="AE20" s="392"/>
      <c r="AF20" s="390"/>
      <c r="AG20" s="392"/>
      <c r="AH20" s="394"/>
      <c r="AI20" s="393"/>
      <c r="AJ20" s="389"/>
      <c r="AK20" s="390"/>
      <c r="AL20" s="395"/>
      <c r="AM20" s="376">
        <v>182111.6</v>
      </c>
      <c r="AN20" s="395"/>
      <c r="AO20" s="376">
        <v>0</v>
      </c>
      <c r="AP20" s="396"/>
      <c r="AQ20" s="390">
        <v>250000</v>
      </c>
      <c r="AR20" s="390"/>
      <c r="AS20" s="390">
        <v>0</v>
      </c>
      <c r="AT20" s="392"/>
      <c r="AU20" s="392"/>
      <c r="AV20" s="390"/>
      <c r="AW20" s="392"/>
      <c r="AX20" s="393"/>
      <c r="AY20" s="389"/>
      <c r="AZ20" s="397"/>
      <c r="BA20" s="398"/>
      <c r="BB20" s="399" t="s">
        <v>444</v>
      </c>
      <c r="BC20" s="381"/>
      <c r="BD20" s="381"/>
      <c r="BE20" s="381"/>
      <c r="BF20" s="381"/>
      <c r="BG20" s="381"/>
      <c r="BH20" s="381"/>
      <c r="BI20" s="381"/>
      <c r="BJ20" s="381"/>
      <c r="BK20" s="381"/>
      <c r="BL20" s="381"/>
      <c r="BM20" s="381"/>
      <c r="BN20" s="381"/>
      <c r="BO20" s="381"/>
      <c r="BP20" s="381"/>
      <c r="BQ20" s="381"/>
      <c r="BR20" s="381"/>
      <c r="BS20" s="381"/>
      <c r="BT20" s="381"/>
      <c r="BU20" s="381"/>
      <c r="BV20" s="381"/>
      <c r="BW20" s="381"/>
      <c r="BX20" s="381"/>
      <c r="BY20" s="381"/>
      <c r="BZ20" s="381"/>
      <c r="CA20" s="381"/>
      <c r="CB20" s="381"/>
      <c r="CC20" s="381"/>
      <c r="CD20" s="381"/>
      <c r="CE20" s="381"/>
      <c r="CF20" s="381"/>
      <c r="CG20" s="381"/>
      <c r="CH20" s="381"/>
      <c r="CI20" s="381"/>
      <c r="CJ20" s="381"/>
      <c r="CK20" s="381"/>
      <c r="CL20" s="381"/>
      <c r="CM20" s="381"/>
      <c r="CN20" s="381"/>
      <c r="CO20" s="381"/>
      <c r="CP20" s="381"/>
      <c r="CQ20" s="381"/>
      <c r="CR20" s="381"/>
      <c r="CS20" s="381"/>
      <c r="CT20" s="381"/>
      <c r="CU20" s="381"/>
      <c r="CV20" s="381"/>
      <c r="CW20" s="381"/>
      <c r="CX20" s="381"/>
      <c r="CY20" s="381"/>
      <c r="CZ20" s="381"/>
      <c r="DA20" s="381"/>
      <c r="DB20" s="381"/>
      <c r="DC20" s="381"/>
      <c r="DD20" s="381"/>
      <c r="DE20" s="381"/>
      <c r="DF20" s="381"/>
      <c r="DG20" s="381"/>
      <c r="DH20" s="381"/>
      <c r="DI20" s="381"/>
      <c r="DJ20" s="381"/>
      <c r="DK20" s="381"/>
      <c r="DL20" s="381"/>
      <c r="DM20" s="381"/>
      <c r="DN20" s="381"/>
      <c r="DO20" s="381"/>
      <c r="DP20" s="381"/>
      <c r="DQ20" s="381"/>
      <c r="DR20" s="381"/>
      <c r="DS20" s="381"/>
      <c r="DT20" s="381"/>
      <c r="DU20" s="381"/>
      <c r="DV20" s="381"/>
      <c r="DW20" s="381"/>
      <c r="DX20" s="381"/>
      <c r="DY20" s="381"/>
      <c r="DZ20" s="381"/>
      <c r="EA20" s="381"/>
      <c r="EB20" s="381"/>
      <c r="EC20" s="381"/>
      <c r="ED20" s="381"/>
      <c r="EE20" s="381"/>
      <c r="EF20" s="381"/>
      <c r="EG20" s="381"/>
      <c r="EH20" s="381"/>
      <c r="EI20" s="381"/>
      <c r="EJ20" s="381"/>
      <c r="EK20" s="381"/>
      <c r="EL20" s="381"/>
      <c r="EM20" s="381"/>
      <c r="EN20" s="381"/>
      <c r="EO20" s="381"/>
      <c r="EP20" s="381"/>
      <c r="EQ20" s="381"/>
      <c r="ER20" s="381"/>
      <c r="ES20" s="381"/>
      <c r="ET20" s="381"/>
      <c r="EU20" s="381"/>
      <c r="EV20" s="381"/>
      <c r="EW20" s="381"/>
      <c r="EX20" s="381"/>
      <c r="EY20" s="381"/>
      <c r="EZ20" s="381"/>
      <c r="FA20" s="381"/>
      <c r="FB20" s="381"/>
      <c r="FC20" s="381"/>
      <c r="FD20" s="381"/>
      <c r="FE20" s="381"/>
      <c r="FF20" s="381"/>
      <c r="FG20" s="381"/>
      <c r="FH20" s="381"/>
      <c r="FI20" s="381"/>
      <c r="FJ20" s="381"/>
      <c r="FK20" s="381"/>
      <c r="FL20" s="381"/>
      <c r="FM20" s="381"/>
      <c r="FN20" s="381"/>
      <c r="FO20" s="381"/>
      <c r="FP20" s="381"/>
      <c r="FQ20" s="381"/>
      <c r="FR20" s="381"/>
      <c r="FS20" s="381"/>
      <c r="FT20" s="381"/>
      <c r="FU20" s="381"/>
      <c r="FV20" s="381"/>
      <c r="FW20" s="381"/>
      <c r="FX20" s="381"/>
      <c r="FY20" s="381"/>
      <c r="FZ20" s="381"/>
      <c r="GA20" s="381"/>
      <c r="GB20" s="381"/>
      <c r="GC20" s="381"/>
      <c r="GD20" s="381"/>
      <c r="GE20" s="381"/>
      <c r="GF20" s="381"/>
      <c r="GG20" s="381"/>
      <c r="GH20" s="381"/>
      <c r="GI20" s="381"/>
      <c r="GJ20" s="381"/>
      <c r="GK20" s="381"/>
      <c r="GL20" s="381"/>
      <c r="GM20" s="381"/>
      <c r="GN20" s="381"/>
      <c r="GO20" s="381"/>
      <c r="GP20" s="381"/>
      <c r="GQ20" s="381"/>
      <c r="GR20" s="381"/>
      <c r="GS20" s="381"/>
      <c r="GT20" s="381"/>
      <c r="GU20" s="381"/>
      <c r="GV20" s="381"/>
      <c r="GW20" s="381"/>
      <c r="GX20" s="381"/>
      <c r="GY20" s="381"/>
      <c r="GZ20" s="381"/>
      <c r="HA20" s="381"/>
      <c r="HB20" s="381"/>
      <c r="HC20" s="381"/>
      <c r="HD20" s="381"/>
      <c r="HE20" s="381"/>
      <c r="HF20" s="381"/>
      <c r="HG20" s="381"/>
      <c r="HH20" s="381"/>
      <c r="HI20" s="381"/>
      <c r="HJ20" s="381"/>
      <c r="HK20" s="381"/>
      <c r="HL20" s="381"/>
      <c r="HM20" s="381"/>
      <c r="HN20" s="381"/>
      <c r="HO20" s="381"/>
      <c r="HP20" s="381"/>
      <c r="HQ20" s="381"/>
      <c r="HR20" s="381"/>
      <c r="HS20" s="381"/>
      <c r="HT20" s="381"/>
      <c r="HU20" s="381"/>
      <c r="HV20" s="381"/>
      <c r="HW20" s="381"/>
      <c r="HX20" s="381"/>
      <c r="HY20" s="381"/>
      <c r="HZ20" s="381"/>
      <c r="IA20" s="381"/>
      <c r="IB20" s="381"/>
      <c r="IC20" s="381"/>
      <c r="ID20" s="381"/>
      <c r="IE20" s="381"/>
      <c r="IF20" s="381"/>
      <c r="IG20" s="381"/>
      <c r="IH20" s="381"/>
      <c r="II20" s="381"/>
      <c r="IJ20" s="381"/>
      <c r="IK20" s="381"/>
      <c r="IL20" s="381"/>
      <c r="IM20" s="381"/>
      <c r="IN20" s="381"/>
      <c r="IO20" s="381"/>
      <c r="IP20" s="381"/>
      <c r="IQ20" s="381"/>
      <c r="IR20" s="381"/>
      <c r="IS20" s="381"/>
      <c r="IT20" s="381"/>
      <c r="IU20" s="381"/>
      <c r="IV20" s="381"/>
      <c r="IW20" s="381"/>
      <c r="IX20" s="381"/>
      <c r="IY20" s="381"/>
      <c r="IZ20" s="381"/>
      <c r="JA20" s="381"/>
      <c r="JB20" s="381"/>
      <c r="JC20" s="381"/>
      <c r="JD20" s="381"/>
      <c r="JE20" s="381"/>
      <c r="JF20" s="381"/>
      <c r="JG20" s="381"/>
      <c r="JH20" s="381"/>
      <c r="JI20" s="381"/>
      <c r="JJ20" s="381"/>
      <c r="JK20" s="381"/>
      <c r="JL20" s="381"/>
      <c r="JM20" s="381"/>
      <c r="JN20" s="381"/>
      <c r="JO20" s="381"/>
      <c r="JP20" s="381"/>
      <c r="JQ20" s="381"/>
      <c r="JR20" s="381"/>
      <c r="JS20" s="381"/>
      <c r="JT20" s="381"/>
      <c r="JU20" s="381"/>
      <c r="JV20" s="381"/>
      <c r="JW20" s="381"/>
      <c r="JX20" s="381"/>
      <c r="JY20" s="381"/>
      <c r="JZ20" s="381"/>
      <c r="KA20" s="381"/>
      <c r="KB20" s="381"/>
      <c r="KC20" s="381"/>
      <c r="KD20" s="381"/>
      <c r="KE20" s="381"/>
      <c r="KF20" s="381"/>
      <c r="KG20" s="381"/>
      <c r="KH20" s="381"/>
      <c r="KI20" s="381"/>
      <c r="KJ20" s="381"/>
      <c r="KK20" s="381"/>
      <c r="KL20" s="381"/>
      <c r="KM20" s="381"/>
      <c r="KN20" s="381"/>
      <c r="KO20" s="381"/>
      <c r="KP20" s="381"/>
      <c r="KQ20" s="381"/>
      <c r="KR20" s="381"/>
      <c r="KS20" s="381"/>
      <c r="KT20" s="381"/>
      <c r="KU20" s="381"/>
      <c r="KV20" s="381"/>
      <c r="KW20" s="381"/>
      <c r="KX20" s="381"/>
      <c r="KY20" s="381"/>
      <c r="KZ20" s="381"/>
      <c r="LA20" s="381"/>
      <c r="LB20" s="381"/>
      <c r="LC20" s="381"/>
      <c r="LD20" s="381"/>
      <c r="LE20" s="381"/>
      <c r="LF20" s="381"/>
      <c r="LG20" s="381"/>
      <c r="LH20" s="381"/>
      <c r="LI20" s="381"/>
      <c r="LJ20" s="381"/>
      <c r="LK20" s="381"/>
      <c r="LL20" s="381"/>
      <c r="LM20" s="381"/>
      <c r="LN20" s="381"/>
      <c r="LO20" s="381"/>
      <c r="LP20" s="381"/>
      <c r="LQ20" s="381"/>
      <c r="LR20" s="381"/>
      <c r="LS20" s="381"/>
      <c r="LT20" s="381"/>
      <c r="LU20" s="381"/>
      <c r="LV20" s="381"/>
      <c r="LW20" s="381"/>
      <c r="LX20" s="381"/>
      <c r="LY20" s="381"/>
      <c r="LZ20" s="381"/>
      <c r="MA20" s="381"/>
      <c r="MB20" s="381"/>
      <c r="MC20" s="381"/>
      <c r="MD20" s="381"/>
      <c r="ME20" s="381"/>
      <c r="MF20" s="381"/>
      <c r="MG20" s="381"/>
      <c r="MH20" s="381"/>
      <c r="MI20" s="381"/>
      <c r="MJ20" s="381"/>
      <c r="MK20" s="381"/>
      <c r="ML20" s="381"/>
      <c r="MM20" s="381"/>
      <c r="MN20" s="381"/>
      <c r="MO20" s="381"/>
      <c r="MP20" s="381"/>
      <c r="MQ20" s="381"/>
      <c r="MR20" s="381"/>
      <c r="MS20" s="381"/>
      <c r="MT20" s="381"/>
      <c r="MU20" s="381"/>
      <c r="MV20" s="381"/>
      <c r="MW20" s="381"/>
      <c r="MX20" s="381"/>
      <c r="MY20" s="381"/>
      <c r="MZ20" s="381"/>
      <c r="NA20" s="381"/>
      <c r="NB20" s="381"/>
      <c r="NC20" s="381"/>
      <c r="ND20" s="381"/>
      <c r="NE20" s="381"/>
      <c r="NF20" s="381"/>
      <c r="NG20" s="381"/>
      <c r="NH20" s="381"/>
      <c r="NI20" s="381"/>
      <c r="NJ20" s="381"/>
      <c r="NK20" s="381"/>
      <c r="NL20" s="381"/>
      <c r="NM20" s="381"/>
      <c r="NN20" s="381"/>
      <c r="NO20" s="381"/>
      <c r="NP20" s="381"/>
      <c r="NQ20" s="381"/>
      <c r="NR20" s="381"/>
      <c r="NS20" s="381"/>
      <c r="NT20" s="381"/>
      <c r="NU20" s="381"/>
      <c r="NV20" s="381"/>
      <c r="NW20" s="381"/>
      <c r="NX20" s="381"/>
      <c r="NY20" s="381"/>
      <c r="NZ20" s="381"/>
      <c r="OA20" s="381"/>
      <c r="OB20" s="381"/>
      <c r="OC20" s="381"/>
      <c r="OD20" s="381"/>
      <c r="OE20" s="381"/>
      <c r="OF20" s="381"/>
      <c r="OG20" s="381"/>
      <c r="OH20" s="381"/>
      <c r="OI20" s="381"/>
      <c r="OJ20" s="381"/>
      <c r="OK20" s="381"/>
      <c r="OL20" s="381"/>
      <c r="OM20" s="381"/>
      <c r="ON20" s="381"/>
      <c r="OO20" s="381"/>
      <c r="OP20" s="381"/>
      <c r="OQ20" s="381"/>
      <c r="OR20" s="381"/>
      <c r="OS20" s="381"/>
      <c r="OT20" s="381"/>
      <c r="OU20" s="381"/>
      <c r="OV20" s="381"/>
      <c r="OW20" s="381"/>
      <c r="OX20" s="381"/>
      <c r="OY20" s="381"/>
      <c r="OZ20" s="381"/>
      <c r="PA20" s="381"/>
      <c r="PB20" s="381"/>
      <c r="PC20" s="381"/>
      <c r="PD20" s="381"/>
      <c r="PE20" s="381"/>
      <c r="PF20" s="381"/>
      <c r="PG20" s="381"/>
      <c r="PH20" s="381"/>
      <c r="PI20" s="381"/>
      <c r="PJ20" s="381"/>
      <c r="PK20" s="381"/>
      <c r="PL20" s="381"/>
      <c r="PM20" s="381"/>
      <c r="PN20" s="381"/>
      <c r="PO20" s="381"/>
      <c r="PP20" s="381"/>
      <c r="PQ20" s="381"/>
      <c r="PR20" s="381"/>
      <c r="PS20" s="381"/>
      <c r="PT20" s="381"/>
      <c r="PU20" s="381"/>
      <c r="PV20" s="381"/>
      <c r="PW20" s="381"/>
      <c r="PX20" s="381"/>
      <c r="PY20" s="381"/>
      <c r="PZ20" s="381"/>
      <c r="QA20" s="381"/>
      <c r="QB20" s="381"/>
      <c r="QC20" s="381"/>
      <c r="QD20" s="381"/>
      <c r="QE20" s="381"/>
      <c r="QF20" s="381"/>
      <c r="QG20" s="381"/>
      <c r="QH20" s="381"/>
      <c r="QI20" s="381"/>
      <c r="QJ20" s="381"/>
      <c r="QK20" s="381"/>
      <c r="QL20" s="381"/>
      <c r="QM20" s="381"/>
      <c r="QN20" s="381"/>
      <c r="QO20" s="381"/>
      <c r="QP20" s="381"/>
      <c r="QQ20" s="381"/>
      <c r="QR20" s="381"/>
      <c r="QS20" s="381"/>
      <c r="QT20" s="381"/>
      <c r="QU20" s="381"/>
      <c r="QV20" s="381"/>
      <c r="QW20" s="381"/>
      <c r="QX20" s="381"/>
      <c r="QY20" s="381"/>
      <c r="QZ20" s="381"/>
      <c r="RA20" s="381"/>
      <c r="RB20" s="381"/>
      <c r="RC20" s="381"/>
      <c r="RD20" s="381"/>
      <c r="RE20" s="381"/>
      <c r="RF20" s="381"/>
      <c r="RG20" s="381"/>
      <c r="RH20" s="381"/>
      <c r="RI20" s="381"/>
      <c r="RJ20" s="381"/>
      <c r="RK20" s="381"/>
      <c r="RL20" s="381"/>
      <c r="RM20" s="381"/>
      <c r="RN20" s="381"/>
      <c r="RO20" s="381"/>
      <c r="RP20" s="381"/>
      <c r="RQ20" s="381"/>
      <c r="RR20" s="381"/>
      <c r="RS20" s="381"/>
      <c r="RT20" s="381"/>
      <c r="RU20" s="381"/>
      <c r="RV20" s="381"/>
      <c r="RW20" s="381"/>
      <c r="RX20" s="381"/>
      <c r="RY20" s="381"/>
      <c r="RZ20" s="381"/>
      <c r="SA20" s="381"/>
      <c r="SB20" s="381"/>
      <c r="SC20" s="381"/>
      <c r="SD20" s="381"/>
      <c r="SE20" s="381"/>
      <c r="SF20" s="381"/>
      <c r="SG20" s="381"/>
      <c r="SH20" s="381"/>
      <c r="SI20" s="381"/>
      <c r="SJ20" s="381"/>
      <c r="SK20" s="381"/>
      <c r="SL20" s="381"/>
      <c r="SM20" s="381"/>
      <c r="SN20" s="381"/>
      <c r="SO20" s="381"/>
      <c r="SP20" s="381"/>
      <c r="SQ20" s="381"/>
      <c r="SR20" s="381"/>
      <c r="SS20" s="381"/>
      <c r="ST20" s="381"/>
      <c r="SU20" s="381"/>
      <c r="SV20" s="381"/>
      <c r="SW20" s="381"/>
      <c r="SX20" s="381"/>
      <c r="SY20" s="381"/>
      <c r="SZ20" s="381"/>
      <c r="TA20" s="381"/>
      <c r="TB20" s="381"/>
      <c r="TC20" s="381"/>
      <c r="TD20" s="381"/>
      <c r="TE20" s="381"/>
      <c r="TF20" s="381"/>
      <c r="TG20" s="381"/>
      <c r="TH20" s="381"/>
      <c r="TI20" s="381"/>
      <c r="TJ20" s="381"/>
      <c r="TK20" s="381"/>
      <c r="TL20" s="381"/>
      <c r="TM20" s="381"/>
      <c r="TN20" s="381"/>
      <c r="TO20" s="381"/>
      <c r="TP20" s="381"/>
      <c r="TQ20" s="381"/>
      <c r="TR20" s="381"/>
      <c r="TS20" s="381"/>
      <c r="TT20" s="381"/>
      <c r="TU20" s="381"/>
      <c r="TV20" s="381"/>
      <c r="TW20" s="381"/>
      <c r="TX20" s="381"/>
      <c r="TY20" s="381"/>
      <c r="TZ20" s="381"/>
      <c r="UA20" s="381"/>
      <c r="UB20" s="381"/>
      <c r="UC20" s="381"/>
      <c r="UD20" s="381"/>
      <c r="UE20" s="381"/>
      <c r="UF20" s="381"/>
      <c r="UG20" s="381"/>
      <c r="UH20" s="381"/>
      <c r="UI20" s="381"/>
      <c r="UJ20" s="381"/>
      <c r="UK20" s="381"/>
      <c r="UL20" s="381"/>
      <c r="UM20" s="381"/>
      <c r="UN20" s="381"/>
      <c r="UO20" s="381"/>
      <c r="UP20" s="381"/>
      <c r="UQ20" s="381"/>
      <c r="UR20" s="381"/>
      <c r="US20" s="381"/>
      <c r="UT20" s="381"/>
      <c r="UU20" s="381"/>
      <c r="UV20" s="381"/>
      <c r="UW20" s="381"/>
      <c r="UX20" s="381"/>
      <c r="UY20" s="381"/>
      <c r="UZ20" s="381"/>
      <c r="VA20" s="381"/>
      <c r="VB20" s="381"/>
      <c r="VC20" s="381"/>
      <c r="VD20" s="381"/>
      <c r="VE20" s="381"/>
      <c r="VF20" s="381"/>
      <c r="VG20" s="381"/>
      <c r="VH20" s="381"/>
      <c r="VI20" s="381"/>
      <c r="VJ20" s="381"/>
      <c r="VK20" s="381"/>
      <c r="VL20" s="381"/>
      <c r="VM20" s="381"/>
      <c r="VN20" s="381"/>
      <c r="VO20" s="381"/>
      <c r="VP20" s="381"/>
      <c r="VQ20" s="381"/>
      <c r="VR20" s="381"/>
      <c r="VS20" s="381"/>
      <c r="VT20" s="381"/>
      <c r="VU20" s="381"/>
      <c r="VV20" s="381"/>
      <c r="VW20" s="381"/>
      <c r="VX20" s="381"/>
      <c r="VY20" s="381"/>
      <c r="VZ20" s="381"/>
      <c r="WA20" s="381"/>
      <c r="WB20" s="381"/>
      <c r="WC20" s="381"/>
      <c r="WD20" s="381"/>
      <c r="WE20" s="381"/>
      <c r="WF20" s="381"/>
      <c r="WG20" s="381"/>
      <c r="WH20" s="381"/>
      <c r="WI20" s="381"/>
      <c r="WJ20" s="381"/>
      <c r="WK20" s="381"/>
      <c r="WL20" s="381"/>
      <c r="WM20" s="381"/>
      <c r="WN20" s="381"/>
      <c r="WO20" s="381"/>
      <c r="WP20" s="381"/>
      <c r="WQ20" s="381"/>
      <c r="WR20" s="381"/>
      <c r="WS20" s="381"/>
      <c r="WT20" s="381"/>
      <c r="WU20" s="381"/>
      <c r="WV20" s="381"/>
      <c r="WW20" s="381"/>
      <c r="WX20" s="381"/>
      <c r="WY20" s="381"/>
      <c r="WZ20" s="381"/>
      <c r="XA20" s="381"/>
      <c r="XB20" s="381"/>
      <c r="XC20" s="381"/>
      <c r="XD20" s="381"/>
      <c r="XE20" s="381"/>
      <c r="XF20" s="381"/>
      <c r="XG20" s="381"/>
      <c r="XH20" s="381"/>
      <c r="XI20" s="381"/>
      <c r="XJ20" s="381"/>
      <c r="XK20" s="381"/>
      <c r="XL20" s="381"/>
      <c r="XM20" s="381"/>
      <c r="XN20" s="381"/>
      <c r="XO20" s="381"/>
      <c r="XP20" s="381"/>
      <c r="XQ20" s="381"/>
      <c r="XR20" s="381"/>
      <c r="XS20" s="381"/>
      <c r="XT20" s="381"/>
      <c r="XU20" s="381"/>
      <c r="XV20" s="381"/>
      <c r="XW20" s="381"/>
      <c r="XX20" s="381"/>
      <c r="XY20" s="381"/>
      <c r="XZ20" s="381"/>
      <c r="YA20" s="381"/>
      <c r="YB20" s="381"/>
      <c r="YC20" s="381"/>
      <c r="YD20" s="381"/>
      <c r="YE20" s="381"/>
      <c r="YF20" s="381"/>
      <c r="YG20" s="381"/>
      <c r="YH20" s="381"/>
      <c r="YI20" s="381"/>
      <c r="YJ20" s="381"/>
      <c r="YK20" s="381"/>
      <c r="YL20" s="381"/>
      <c r="YM20" s="381"/>
      <c r="YN20" s="381"/>
      <c r="YO20" s="381"/>
      <c r="YP20" s="381"/>
      <c r="YQ20" s="381"/>
      <c r="YR20" s="381"/>
      <c r="YS20" s="381"/>
      <c r="YT20" s="381"/>
      <c r="YU20" s="381"/>
      <c r="YV20" s="381"/>
      <c r="YW20" s="381"/>
      <c r="YX20" s="381"/>
      <c r="YY20" s="381"/>
      <c r="YZ20" s="381"/>
      <c r="ZA20" s="381"/>
      <c r="ZB20" s="381"/>
      <c r="ZC20" s="381"/>
      <c r="ZD20" s="381"/>
      <c r="ZE20" s="381"/>
      <c r="ZF20" s="381"/>
      <c r="ZG20" s="381"/>
      <c r="ZH20" s="381"/>
      <c r="ZI20" s="381"/>
      <c r="ZJ20" s="381"/>
      <c r="ZK20" s="381"/>
      <c r="ZL20" s="381"/>
      <c r="ZM20" s="381"/>
      <c r="ZN20" s="381"/>
      <c r="ZO20" s="381"/>
      <c r="ZP20" s="381"/>
      <c r="ZQ20" s="381"/>
      <c r="ZR20" s="381"/>
      <c r="ZS20" s="381"/>
      <c r="ZT20" s="381"/>
      <c r="ZU20" s="381"/>
      <c r="ZV20" s="381"/>
      <c r="ZW20" s="381"/>
      <c r="ZX20" s="381"/>
      <c r="ZY20" s="381"/>
      <c r="ZZ20" s="381"/>
      <c r="AAA20" s="381"/>
      <c r="AAB20" s="381"/>
      <c r="AAC20" s="381"/>
      <c r="AAD20" s="381"/>
      <c r="AAE20" s="381"/>
      <c r="AAF20" s="381"/>
      <c r="AAG20" s="381"/>
      <c r="AAH20" s="381"/>
      <c r="AAI20" s="381"/>
      <c r="AAJ20" s="381"/>
      <c r="AAK20" s="381"/>
      <c r="AAL20" s="381"/>
      <c r="AAM20" s="381"/>
      <c r="AAN20" s="381"/>
      <c r="AAO20" s="381"/>
      <c r="AAP20" s="381"/>
      <c r="AAQ20" s="381"/>
      <c r="AAR20" s="381"/>
      <c r="AAS20" s="381"/>
      <c r="AAT20" s="381"/>
      <c r="AAU20" s="381"/>
      <c r="AAV20" s="381"/>
      <c r="AAW20" s="381"/>
      <c r="AAX20" s="381"/>
      <c r="AAY20" s="381"/>
      <c r="AAZ20" s="381"/>
      <c r="ABA20" s="381"/>
      <c r="ABB20" s="381"/>
      <c r="ABC20" s="381"/>
      <c r="ABD20" s="381"/>
      <c r="ABE20" s="381"/>
      <c r="ABF20" s="381"/>
      <c r="ABG20" s="381"/>
      <c r="ABH20" s="381"/>
      <c r="ABI20" s="381"/>
      <c r="ABJ20" s="381"/>
      <c r="ABK20" s="381"/>
      <c r="ABL20" s="381"/>
      <c r="ABM20" s="381"/>
      <c r="ABN20" s="381"/>
      <c r="ABO20" s="381"/>
      <c r="ABP20" s="381"/>
      <c r="ABQ20" s="381"/>
      <c r="ABR20" s="381"/>
      <c r="ABS20" s="381"/>
      <c r="ABT20" s="381"/>
      <c r="ABU20" s="381"/>
      <c r="ABV20" s="381"/>
      <c r="ABW20" s="381"/>
      <c r="ABX20" s="381"/>
      <c r="ABY20" s="381"/>
      <c r="ABZ20" s="381"/>
      <c r="ACA20" s="381"/>
      <c r="ACB20" s="381"/>
      <c r="ACC20" s="381"/>
      <c r="ACD20" s="381"/>
      <c r="ACE20" s="381"/>
      <c r="ACF20" s="381"/>
      <c r="ACG20" s="381"/>
      <c r="ACH20" s="381"/>
      <c r="ACI20" s="381"/>
      <c r="ACJ20" s="381"/>
      <c r="ACK20" s="381"/>
      <c r="ACL20" s="381"/>
      <c r="ACM20" s="381"/>
      <c r="ACN20" s="381"/>
      <c r="ACO20" s="381"/>
      <c r="ACP20" s="381"/>
      <c r="ACQ20" s="381"/>
      <c r="ACR20" s="381"/>
      <c r="ACS20" s="381"/>
      <c r="ACT20" s="381"/>
      <c r="ACU20" s="381"/>
      <c r="ACV20" s="381"/>
      <c r="ACW20" s="381"/>
      <c r="ACX20" s="381"/>
      <c r="ACY20" s="381"/>
      <c r="ACZ20" s="381"/>
      <c r="ADA20" s="381"/>
      <c r="ADB20" s="381"/>
      <c r="ADC20" s="381"/>
      <c r="ADD20" s="381"/>
      <c r="ADE20" s="381"/>
      <c r="ADF20" s="381"/>
      <c r="ADG20" s="381"/>
      <c r="ADH20" s="381"/>
      <c r="ADI20" s="381"/>
      <c r="ADJ20" s="381"/>
      <c r="ADK20" s="381"/>
      <c r="ADL20" s="381"/>
      <c r="ADM20" s="381"/>
      <c r="ADN20" s="381"/>
      <c r="ADO20" s="381"/>
      <c r="ADP20" s="381"/>
      <c r="ADQ20" s="381"/>
      <c r="ADR20" s="381"/>
      <c r="ADS20" s="381"/>
      <c r="ADT20" s="381"/>
      <c r="ADU20" s="381"/>
      <c r="ADV20" s="381"/>
      <c r="ADW20" s="381"/>
      <c r="ADX20" s="381"/>
      <c r="ADY20" s="381"/>
      <c r="ADZ20" s="381"/>
      <c r="AEA20" s="381"/>
      <c r="AEB20" s="381"/>
      <c r="AEC20" s="381"/>
      <c r="AED20" s="381"/>
      <c r="AEE20" s="381"/>
      <c r="AEF20" s="381"/>
      <c r="AEG20" s="381"/>
      <c r="AEH20" s="381"/>
      <c r="AEI20" s="381"/>
      <c r="AEJ20" s="381"/>
      <c r="AEK20" s="381"/>
      <c r="AEL20" s="381"/>
      <c r="AEM20" s="381"/>
      <c r="AEN20" s="381"/>
      <c r="AEO20" s="381"/>
      <c r="AEP20" s="381"/>
      <c r="AEQ20" s="381"/>
      <c r="AER20" s="381"/>
      <c r="AES20" s="381"/>
      <c r="AET20" s="381"/>
      <c r="AEU20" s="381"/>
      <c r="AEV20" s="381"/>
      <c r="AEW20" s="381"/>
      <c r="AEX20" s="381"/>
      <c r="AEY20" s="381"/>
      <c r="AEZ20" s="381"/>
      <c r="AFA20" s="381"/>
      <c r="AFB20" s="381"/>
      <c r="AFC20" s="381"/>
      <c r="AFD20" s="381"/>
      <c r="AFE20" s="381"/>
      <c r="AFF20" s="381"/>
      <c r="AFG20" s="381"/>
      <c r="AFH20" s="381"/>
      <c r="AFI20" s="381"/>
      <c r="AFJ20" s="381"/>
      <c r="AFK20" s="381"/>
      <c r="AFL20" s="381"/>
      <c r="AFM20" s="381"/>
      <c r="AFN20" s="381"/>
      <c r="AFO20" s="381"/>
      <c r="AFP20" s="381"/>
      <c r="AFQ20" s="381"/>
      <c r="AFR20" s="381"/>
      <c r="AFS20" s="381"/>
      <c r="AFT20" s="381"/>
      <c r="AFU20" s="381"/>
      <c r="AFV20" s="381"/>
      <c r="AFW20" s="381"/>
      <c r="AFX20" s="381"/>
      <c r="AFY20" s="381"/>
      <c r="AFZ20" s="381"/>
      <c r="AGA20" s="381"/>
      <c r="AGB20" s="381"/>
      <c r="AGC20" s="381"/>
      <c r="AGD20" s="381"/>
      <c r="AGE20" s="381"/>
      <c r="AGF20" s="381"/>
      <c r="AGG20" s="381"/>
      <c r="AGH20" s="381"/>
      <c r="AGI20" s="381"/>
      <c r="AGJ20" s="381"/>
      <c r="AGK20" s="381"/>
      <c r="AGL20" s="381"/>
      <c r="AGM20" s="381"/>
      <c r="AGN20" s="381"/>
      <c r="AGO20" s="381"/>
      <c r="AGP20" s="381"/>
      <c r="AGQ20" s="381"/>
      <c r="AGR20" s="381"/>
      <c r="AGS20" s="381"/>
      <c r="AGT20" s="381"/>
      <c r="AGU20" s="381"/>
      <c r="AGV20" s="381"/>
      <c r="AGW20" s="381"/>
      <c r="AGX20" s="381"/>
      <c r="AGY20" s="381"/>
      <c r="AGZ20" s="381"/>
      <c r="AHA20" s="381"/>
      <c r="AHB20" s="381"/>
      <c r="AHC20" s="381"/>
      <c r="AHD20" s="381"/>
      <c r="AHE20" s="381"/>
      <c r="AHF20" s="381"/>
      <c r="AHG20" s="381"/>
      <c r="AHH20" s="381"/>
      <c r="AHI20" s="381"/>
      <c r="AHJ20" s="381"/>
      <c r="AHK20" s="381"/>
      <c r="AHL20" s="381"/>
      <c r="AHM20" s="381"/>
      <c r="AHN20" s="381"/>
      <c r="AHO20" s="381"/>
      <c r="AHP20" s="381"/>
      <c r="AHQ20" s="381"/>
      <c r="AHR20" s="381"/>
      <c r="AHS20" s="381"/>
      <c r="AHT20" s="381"/>
      <c r="AHU20" s="381"/>
      <c r="AHV20" s="381"/>
      <c r="AHW20" s="381"/>
      <c r="AHX20" s="381"/>
      <c r="AHY20" s="381"/>
      <c r="AHZ20" s="381"/>
      <c r="AIA20" s="381"/>
      <c r="AIB20" s="381"/>
      <c r="AIC20" s="381"/>
      <c r="AID20" s="381"/>
      <c r="AIE20" s="381"/>
      <c r="AIF20" s="381"/>
      <c r="AIG20" s="381"/>
      <c r="AIH20" s="381"/>
      <c r="AII20" s="381"/>
      <c r="AIJ20" s="381"/>
      <c r="AIK20" s="381"/>
      <c r="AIL20" s="381"/>
      <c r="AIM20" s="381"/>
      <c r="AIN20" s="381"/>
      <c r="AIO20" s="381"/>
      <c r="AIP20" s="381"/>
      <c r="AIQ20" s="381"/>
      <c r="AIR20" s="381"/>
      <c r="AIS20" s="381"/>
      <c r="AIT20" s="381"/>
      <c r="AIU20" s="381"/>
      <c r="AIV20" s="381"/>
      <c r="AIW20" s="381"/>
      <c r="AIX20" s="381"/>
      <c r="AIY20" s="381"/>
      <c r="AIZ20" s="381"/>
      <c r="AJA20" s="381"/>
      <c r="AJB20" s="381"/>
      <c r="AJC20" s="381"/>
      <c r="AJD20" s="381"/>
      <c r="AJE20" s="381"/>
      <c r="AJF20" s="381"/>
      <c r="AJG20" s="381"/>
      <c r="AJH20" s="381"/>
      <c r="AJI20" s="381"/>
      <c r="AJJ20" s="381"/>
      <c r="AJK20" s="381"/>
      <c r="AJL20" s="381"/>
      <c r="AJM20" s="381"/>
      <c r="AJN20" s="381"/>
      <c r="AJO20" s="381"/>
      <c r="AJP20" s="381"/>
      <c r="AJQ20" s="381"/>
      <c r="AJR20" s="381"/>
      <c r="AJS20" s="381"/>
      <c r="AJT20" s="381"/>
      <c r="AJU20" s="381"/>
      <c r="AJV20" s="381"/>
      <c r="AJW20" s="381"/>
      <c r="AJX20" s="381"/>
      <c r="AJY20" s="381"/>
      <c r="AJZ20" s="381"/>
      <c r="AKA20" s="381"/>
      <c r="AKB20" s="381"/>
      <c r="AKC20" s="381"/>
      <c r="AKD20" s="381"/>
      <c r="AKE20" s="381"/>
      <c r="AKF20" s="381"/>
      <c r="AKG20" s="381"/>
      <c r="AKH20" s="381"/>
      <c r="AKI20" s="381"/>
      <c r="AKJ20" s="381"/>
      <c r="AKK20" s="381"/>
      <c r="AKL20" s="381"/>
      <c r="AKM20" s="381"/>
      <c r="AKN20" s="381"/>
      <c r="AKO20" s="381"/>
      <c r="AKP20" s="381"/>
      <c r="AKQ20" s="381"/>
      <c r="AKR20" s="381"/>
      <c r="AKS20" s="381"/>
      <c r="AKT20" s="381"/>
      <c r="AKU20" s="381"/>
      <c r="AKV20" s="381"/>
      <c r="AKW20" s="381"/>
      <c r="AKX20" s="381"/>
      <c r="AKY20" s="381"/>
      <c r="AKZ20" s="381"/>
      <c r="ALA20" s="381"/>
      <c r="ALB20" s="381"/>
      <c r="ALC20" s="381"/>
    </row>
    <row r="21" spans="1:991" s="400" customFormat="1" ht="93.75" thickBot="1" x14ac:dyDescent="0.3">
      <c r="A21" s="381"/>
      <c r="B21" s="360"/>
      <c r="C21" s="361" t="e">
        <f>J21-#REF!</f>
        <v>#REF!</v>
      </c>
      <c r="D21" s="362" t="s">
        <v>461</v>
      </c>
      <c r="E21" s="382"/>
      <c r="F21" s="383">
        <v>607</v>
      </c>
      <c r="G21" s="384"/>
      <c r="H21" s="385" t="s">
        <v>112</v>
      </c>
      <c r="I21" s="386" t="s">
        <v>462</v>
      </c>
      <c r="J21" s="387">
        <v>150000</v>
      </c>
      <c r="K21" s="388">
        <v>111486.08</v>
      </c>
      <c r="L21" s="389">
        <v>38513.919999999998</v>
      </c>
      <c r="M21" s="390">
        <v>0</v>
      </c>
      <c r="N21" s="390">
        <v>0</v>
      </c>
      <c r="O21" s="391">
        <v>0</v>
      </c>
      <c r="P21" s="389"/>
      <c r="Q21" s="390"/>
      <c r="R21" s="390"/>
      <c r="S21" s="392"/>
      <c r="T21" s="393"/>
      <c r="U21" s="389"/>
      <c r="V21" s="390"/>
      <c r="W21" s="390"/>
      <c r="X21" s="390"/>
      <c r="Y21" s="390"/>
      <c r="Z21" s="390"/>
      <c r="AA21" s="390"/>
      <c r="AB21" s="392"/>
      <c r="AC21" s="392"/>
      <c r="AD21" s="392"/>
      <c r="AE21" s="392"/>
      <c r="AF21" s="390"/>
      <c r="AG21" s="392"/>
      <c r="AH21" s="394"/>
      <c r="AI21" s="393"/>
      <c r="AJ21" s="389"/>
      <c r="AK21" s="390"/>
      <c r="AL21" s="395"/>
      <c r="AM21" s="376">
        <v>111486.08</v>
      </c>
      <c r="AN21" s="395">
        <v>38513.919999999998</v>
      </c>
      <c r="AO21" s="376">
        <v>0</v>
      </c>
      <c r="AP21" s="396">
        <v>150000</v>
      </c>
      <c r="AQ21" s="390"/>
      <c r="AR21" s="390"/>
      <c r="AS21" s="390">
        <v>0</v>
      </c>
      <c r="AT21" s="392"/>
      <c r="AU21" s="392"/>
      <c r="AV21" s="390"/>
      <c r="AW21" s="392"/>
      <c r="AX21" s="393"/>
      <c r="AY21" s="389"/>
      <c r="AZ21" s="397"/>
      <c r="BA21" s="398"/>
      <c r="BB21" s="399"/>
      <c r="BC21" s="381"/>
      <c r="BD21" s="381"/>
      <c r="BE21" s="381"/>
      <c r="BF21" s="381"/>
      <c r="BG21" s="381"/>
      <c r="BH21" s="381"/>
      <c r="BI21" s="381"/>
      <c r="BJ21" s="381"/>
      <c r="BK21" s="381"/>
      <c r="BL21" s="381"/>
      <c r="BM21" s="381"/>
      <c r="BN21" s="381"/>
      <c r="BO21" s="381"/>
      <c r="BP21" s="381"/>
      <c r="BQ21" s="381"/>
      <c r="BR21" s="381"/>
      <c r="BS21" s="381"/>
      <c r="BT21" s="381"/>
      <c r="BU21" s="381"/>
      <c r="BV21" s="381"/>
      <c r="BW21" s="381"/>
      <c r="BX21" s="381"/>
      <c r="BY21" s="381"/>
      <c r="BZ21" s="381"/>
      <c r="CA21" s="381"/>
      <c r="CB21" s="381"/>
      <c r="CC21" s="381"/>
      <c r="CD21" s="381"/>
      <c r="CE21" s="381"/>
      <c r="CF21" s="381"/>
      <c r="CG21" s="381"/>
      <c r="CH21" s="381"/>
      <c r="CI21" s="381"/>
      <c r="CJ21" s="381"/>
      <c r="CK21" s="381"/>
      <c r="CL21" s="381"/>
      <c r="CM21" s="381"/>
      <c r="CN21" s="381"/>
      <c r="CO21" s="381"/>
      <c r="CP21" s="381"/>
      <c r="CQ21" s="381"/>
      <c r="CR21" s="381"/>
      <c r="CS21" s="381"/>
      <c r="CT21" s="381"/>
      <c r="CU21" s="381"/>
      <c r="CV21" s="381"/>
      <c r="CW21" s="381"/>
      <c r="CX21" s="381"/>
      <c r="CY21" s="381"/>
      <c r="CZ21" s="381"/>
      <c r="DA21" s="381"/>
      <c r="DB21" s="381"/>
      <c r="DC21" s="381"/>
      <c r="DD21" s="381"/>
      <c r="DE21" s="381"/>
      <c r="DF21" s="381"/>
      <c r="DG21" s="381"/>
      <c r="DH21" s="381"/>
      <c r="DI21" s="381"/>
      <c r="DJ21" s="381"/>
      <c r="DK21" s="381"/>
      <c r="DL21" s="381"/>
      <c r="DM21" s="381"/>
      <c r="DN21" s="381"/>
      <c r="DO21" s="381"/>
      <c r="DP21" s="381"/>
      <c r="DQ21" s="381"/>
      <c r="DR21" s="381"/>
      <c r="DS21" s="381"/>
      <c r="DT21" s="381"/>
      <c r="DU21" s="381"/>
      <c r="DV21" s="381"/>
      <c r="DW21" s="381"/>
      <c r="DX21" s="381"/>
      <c r="DY21" s="381"/>
      <c r="DZ21" s="381"/>
      <c r="EA21" s="381"/>
      <c r="EB21" s="381"/>
      <c r="EC21" s="381"/>
      <c r="ED21" s="381"/>
      <c r="EE21" s="381"/>
      <c r="EF21" s="381"/>
      <c r="EG21" s="381"/>
      <c r="EH21" s="381"/>
      <c r="EI21" s="381"/>
      <c r="EJ21" s="381"/>
      <c r="EK21" s="381"/>
      <c r="EL21" s="381"/>
      <c r="EM21" s="381"/>
      <c r="EN21" s="381"/>
      <c r="EO21" s="381"/>
      <c r="EP21" s="381"/>
      <c r="EQ21" s="381"/>
      <c r="ER21" s="381"/>
      <c r="ES21" s="381"/>
      <c r="ET21" s="381"/>
      <c r="EU21" s="381"/>
      <c r="EV21" s="381"/>
      <c r="EW21" s="381"/>
      <c r="EX21" s="381"/>
      <c r="EY21" s="381"/>
      <c r="EZ21" s="381"/>
      <c r="FA21" s="381"/>
      <c r="FB21" s="381"/>
      <c r="FC21" s="381"/>
      <c r="FD21" s="381"/>
      <c r="FE21" s="381"/>
      <c r="FF21" s="381"/>
      <c r="FG21" s="381"/>
      <c r="FH21" s="381"/>
      <c r="FI21" s="381"/>
      <c r="FJ21" s="381"/>
      <c r="FK21" s="381"/>
      <c r="FL21" s="381"/>
      <c r="FM21" s="381"/>
      <c r="FN21" s="381"/>
      <c r="FO21" s="381"/>
      <c r="FP21" s="381"/>
      <c r="FQ21" s="381"/>
      <c r="FR21" s="381"/>
      <c r="FS21" s="381"/>
      <c r="FT21" s="381"/>
      <c r="FU21" s="381"/>
      <c r="FV21" s="381"/>
      <c r="FW21" s="381"/>
      <c r="FX21" s="381"/>
      <c r="FY21" s="381"/>
      <c r="FZ21" s="381"/>
      <c r="GA21" s="381"/>
      <c r="GB21" s="381"/>
      <c r="GC21" s="381"/>
      <c r="GD21" s="381"/>
      <c r="GE21" s="381"/>
      <c r="GF21" s="381"/>
      <c r="GG21" s="381"/>
      <c r="GH21" s="381"/>
      <c r="GI21" s="381"/>
      <c r="GJ21" s="381"/>
      <c r="GK21" s="381"/>
      <c r="GL21" s="381"/>
      <c r="GM21" s="381"/>
      <c r="GN21" s="381"/>
      <c r="GO21" s="381"/>
      <c r="GP21" s="381"/>
      <c r="GQ21" s="381"/>
      <c r="GR21" s="381"/>
      <c r="GS21" s="381"/>
      <c r="GT21" s="381"/>
      <c r="GU21" s="381"/>
      <c r="GV21" s="381"/>
      <c r="GW21" s="381"/>
      <c r="GX21" s="381"/>
      <c r="GY21" s="381"/>
      <c r="GZ21" s="381"/>
      <c r="HA21" s="381"/>
      <c r="HB21" s="381"/>
      <c r="HC21" s="381"/>
      <c r="HD21" s="381"/>
      <c r="HE21" s="381"/>
      <c r="HF21" s="381"/>
      <c r="HG21" s="381"/>
      <c r="HH21" s="381"/>
      <c r="HI21" s="381"/>
      <c r="HJ21" s="381"/>
      <c r="HK21" s="381"/>
      <c r="HL21" s="381"/>
      <c r="HM21" s="381"/>
      <c r="HN21" s="381"/>
      <c r="HO21" s="381"/>
      <c r="HP21" s="381"/>
      <c r="HQ21" s="381"/>
      <c r="HR21" s="381"/>
      <c r="HS21" s="381"/>
      <c r="HT21" s="381"/>
      <c r="HU21" s="381"/>
      <c r="HV21" s="381"/>
      <c r="HW21" s="381"/>
      <c r="HX21" s="381"/>
      <c r="HY21" s="381"/>
      <c r="HZ21" s="381"/>
      <c r="IA21" s="381"/>
      <c r="IB21" s="381"/>
      <c r="IC21" s="381"/>
      <c r="ID21" s="381"/>
      <c r="IE21" s="381"/>
      <c r="IF21" s="381"/>
      <c r="IG21" s="381"/>
      <c r="IH21" s="381"/>
      <c r="II21" s="381"/>
      <c r="IJ21" s="381"/>
      <c r="IK21" s="381"/>
      <c r="IL21" s="381"/>
      <c r="IM21" s="381"/>
      <c r="IN21" s="381"/>
      <c r="IO21" s="381"/>
      <c r="IP21" s="381"/>
      <c r="IQ21" s="381"/>
      <c r="IR21" s="381"/>
      <c r="IS21" s="381"/>
      <c r="IT21" s="381"/>
      <c r="IU21" s="381"/>
      <c r="IV21" s="381"/>
      <c r="IW21" s="381"/>
      <c r="IX21" s="381"/>
      <c r="IY21" s="381"/>
      <c r="IZ21" s="381"/>
      <c r="JA21" s="381"/>
      <c r="JB21" s="381"/>
      <c r="JC21" s="381"/>
      <c r="JD21" s="381"/>
      <c r="JE21" s="381"/>
      <c r="JF21" s="381"/>
      <c r="JG21" s="381"/>
      <c r="JH21" s="381"/>
      <c r="JI21" s="381"/>
      <c r="JJ21" s="381"/>
      <c r="JK21" s="381"/>
      <c r="JL21" s="381"/>
      <c r="JM21" s="381"/>
      <c r="JN21" s="381"/>
      <c r="JO21" s="381"/>
      <c r="JP21" s="381"/>
      <c r="JQ21" s="381"/>
      <c r="JR21" s="381"/>
      <c r="JS21" s="381"/>
      <c r="JT21" s="381"/>
      <c r="JU21" s="381"/>
      <c r="JV21" s="381"/>
      <c r="JW21" s="381"/>
      <c r="JX21" s="381"/>
      <c r="JY21" s="381"/>
      <c r="JZ21" s="381"/>
      <c r="KA21" s="381"/>
      <c r="KB21" s="381"/>
      <c r="KC21" s="381"/>
      <c r="KD21" s="381"/>
      <c r="KE21" s="381"/>
      <c r="KF21" s="381"/>
      <c r="KG21" s="381"/>
      <c r="KH21" s="381"/>
      <c r="KI21" s="381"/>
      <c r="KJ21" s="381"/>
      <c r="KK21" s="381"/>
      <c r="KL21" s="381"/>
      <c r="KM21" s="381"/>
      <c r="KN21" s="381"/>
      <c r="KO21" s="381"/>
      <c r="KP21" s="381"/>
      <c r="KQ21" s="381"/>
      <c r="KR21" s="381"/>
      <c r="KS21" s="381"/>
      <c r="KT21" s="381"/>
      <c r="KU21" s="381"/>
      <c r="KV21" s="381"/>
      <c r="KW21" s="381"/>
      <c r="KX21" s="381"/>
      <c r="KY21" s="381"/>
      <c r="KZ21" s="381"/>
      <c r="LA21" s="381"/>
      <c r="LB21" s="381"/>
      <c r="LC21" s="381"/>
      <c r="LD21" s="381"/>
      <c r="LE21" s="381"/>
      <c r="LF21" s="381"/>
      <c r="LG21" s="381"/>
      <c r="LH21" s="381"/>
      <c r="LI21" s="381"/>
      <c r="LJ21" s="381"/>
      <c r="LK21" s="381"/>
      <c r="LL21" s="381"/>
      <c r="LM21" s="381"/>
      <c r="LN21" s="381"/>
      <c r="LO21" s="381"/>
      <c r="LP21" s="381"/>
      <c r="LQ21" s="381"/>
      <c r="LR21" s="381"/>
      <c r="LS21" s="381"/>
      <c r="LT21" s="381"/>
      <c r="LU21" s="381"/>
      <c r="LV21" s="381"/>
      <c r="LW21" s="381"/>
      <c r="LX21" s="381"/>
      <c r="LY21" s="381"/>
      <c r="LZ21" s="381"/>
      <c r="MA21" s="381"/>
      <c r="MB21" s="381"/>
      <c r="MC21" s="381"/>
      <c r="MD21" s="381"/>
      <c r="ME21" s="381"/>
      <c r="MF21" s="381"/>
      <c r="MG21" s="381"/>
      <c r="MH21" s="381"/>
      <c r="MI21" s="381"/>
      <c r="MJ21" s="381"/>
      <c r="MK21" s="381"/>
      <c r="ML21" s="381"/>
      <c r="MM21" s="381"/>
      <c r="MN21" s="381"/>
      <c r="MO21" s="381"/>
      <c r="MP21" s="381"/>
      <c r="MQ21" s="381"/>
      <c r="MR21" s="381"/>
      <c r="MS21" s="381"/>
      <c r="MT21" s="381"/>
      <c r="MU21" s="381"/>
      <c r="MV21" s="381"/>
      <c r="MW21" s="381"/>
      <c r="MX21" s="381"/>
      <c r="MY21" s="381"/>
      <c r="MZ21" s="381"/>
      <c r="NA21" s="381"/>
      <c r="NB21" s="381"/>
      <c r="NC21" s="381"/>
      <c r="ND21" s="381"/>
      <c r="NE21" s="381"/>
      <c r="NF21" s="381"/>
      <c r="NG21" s="381"/>
      <c r="NH21" s="381"/>
      <c r="NI21" s="381"/>
      <c r="NJ21" s="381"/>
      <c r="NK21" s="381"/>
      <c r="NL21" s="381"/>
      <c r="NM21" s="381"/>
      <c r="NN21" s="381"/>
      <c r="NO21" s="381"/>
      <c r="NP21" s="381"/>
      <c r="NQ21" s="381"/>
      <c r="NR21" s="381"/>
      <c r="NS21" s="381"/>
      <c r="NT21" s="381"/>
      <c r="NU21" s="381"/>
      <c r="NV21" s="381"/>
      <c r="NW21" s="381"/>
      <c r="NX21" s="381"/>
      <c r="NY21" s="381"/>
      <c r="NZ21" s="381"/>
      <c r="OA21" s="381"/>
      <c r="OB21" s="381"/>
      <c r="OC21" s="381"/>
      <c r="OD21" s="381"/>
      <c r="OE21" s="381"/>
      <c r="OF21" s="381"/>
      <c r="OG21" s="381"/>
      <c r="OH21" s="381"/>
      <c r="OI21" s="381"/>
      <c r="OJ21" s="381"/>
      <c r="OK21" s="381"/>
      <c r="OL21" s="381"/>
      <c r="OM21" s="381"/>
      <c r="ON21" s="381"/>
      <c r="OO21" s="381"/>
      <c r="OP21" s="381"/>
      <c r="OQ21" s="381"/>
      <c r="OR21" s="381"/>
      <c r="OS21" s="381"/>
      <c r="OT21" s="381"/>
      <c r="OU21" s="381"/>
      <c r="OV21" s="381"/>
      <c r="OW21" s="381"/>
      <c r="OX21" s="381"/>
      <c r="OY21" s="381"/>
      <c r="OZ21" s="381"/>
      <c r="PA21" s="381"/>
      <c r="PB21" s="381"/>
      <c r="PC21" s="381"/>
      <c r="PD21" s="381"/>
      <c r="PE21" s="381"/>
      <c r="PF21" s="381"/>
      <c r="PG21" s="381"/>
      <c r="PH21" s="381"/>
      <c r="PI21" s="381"/>
      <c r="PJ21" s="381"/>
      <c r="PK21" s="381"/>
      <c r="PL21" s="381"/>
      <c r="PM21" s="381"/>
      <c r="PN21" s="381"/>
      <c r="PO21" s="381"/>
      <c r="PP21" s="381"/>
      <c r="PQ21" s="381"/>
      <c r="PR21" s="381"/>
      <c r="PS21" s="381"/>
      <c r="PT21" s="381"/>
      <c r="PU21" s="381"/>
      <c r="PV21" s="381"/>
      <c r="PW21" s="381"/>
      <c r="PX21" s="381"/>
      <c r="PY21" s="381"/>
      <c r="PZ21" s="381"/>
      <c r="QA21" s="381"/>
      <c r="QB21" s="381"/>
      <c r="QC21" s="381"/>
      <c r="QD21" s="381"/>
      <c r="QE21" s="381"/>
      <c r="QF21" s="381"/>
      <c r="QG21" s="381"/>
      <c r="QH21" s="381"/>
      <c r="QI21" s="381"/>
      <c r="QJ21" s="381"/>
      <c r="QK21" s="381"/>
      <c r="QL21" s="381"/>
      <c r="QM21" s="381"/>
      <c r="QN21" s="381"/>
      <c r="QO21" s="381"/>
      <c r="QP21" s="381"/>
      <c r="QQ21" s="381"/>
      <c r="QR21" s="381"/>
      <c r="QS21" s="381"/>
      <c r="QT21" s="381"/>
      <c r="QU21" s="381"/>
      <c r="QV21" s="381"/>
      <c r="QW21" s="381"/>
      <c r="QX21" s="381"/>
      <c r="QY21" s="381"/>
      <c r="QZ21" s="381"/>
      <c r="RA21" s="381"/>
      <c r="RB21" s="381"/>
      <c r="RC21" s="381"/>
      <c r="RD21" s="381"/>
      <c r="RE21" s="381"/>
      <c r="RF21" s="381"/>
      <c r="RG21" s="381"/>
      <c r="RH21" s="381"/>
      <c r="RI21" s="381"/>
      <c r="RJ21" s="381"/>
      <c r="RK21" s="381"/>
      <c r="RL21" s="381"/>
      <c r="RM21" s="381"/>
      <c r="RN21" s="381"/>
      <c r="RO21" s="381"/>
      <c r="RP21" s="381"/>
      <c r="RQ21" s="381"/>
      <c r="RR21" s="381"/>
      <c r="RS21" s="381"/>
      <c r="RT21" s="381"/>
      <c r="RU21" s="381"/>
      <c r="RV21" s="381"/>
      <c r="RW21" s="381"/>
      <c r="RX21" s="381"/>
      <c r="RY21" s="381"/>
      <c r="RZ21" s="381"/>
      <c r="SA21" s="381"/>
      <c r="SB21" s="381"/>
      <c r="SC21" s="381"/>
      <c r="SD21" s="381"/>
      <c r="SE21" s="381"/>
      <c r="SF21" s="381"/>
      <c r="SG21" s="381"/>
      <c r="SH21" s="381"/>
      <c r="SI21" s="381"/>
      <c r="SJ21" s="381"/>
      <c r="SK21" s="381"/>
      <c r="SL21" s="381"/>
      <c r="SM21" s="381"/>
      <c r="SN21" s="381"/>
      <c r="SO21" s="381"/>
      <c r="SP21" s="381"/>
      <c r="SQ21" s="381"/>
      <c r="SR21" s="381"/>
      <c r="SS21" s="381"/>
      <c r="ST21" s="381"/>
      <c r="SU21" s="381"/>
      <c r="SV21" s="381"/>
      <c r="SW21" s="381"/>
      <c r="SX21" s="381"/>
      <c r="SY21" s="381"/>
      <c r="SZ21" s="381"/>
      <c r="TA21" s="381"/>
      <c r="TB21" s="381"/>
      <c r="TC21" s="381"/>
      <c r="TD21" s="381"/>
      <c r="TE21" s="381"/>
      <c r="TF21" s="381"/>
      <c r="TG21" s="381"/>
      <c r="TH21" s="381"/>
      <c r="TI21" s="381"/>
      <c r="TJ21" s="381"/>
      <c r="TK21" s="381"/>
      <c r="TL21" s="381"/>
      <c r="TM21" s="381"/>
      <c r="TN21" s="381"/>
      <c r="TO21" s="381"/>
      <c r="TP21" s="381"/>
      <c r="TQ21" s="381"/>
      <c r="TR21" s="381"/>
      <c r="TS21" s="381"/>
      <c r="TT21" s="381"/>
      <c r="TU21" s="381"/>
      <c r="TV21" s="381"/>
      <c r="TW21" s="381"/>
      <c r="TX21" s="381"/>
      <c r="TY21" s="381"/>
      <c r="TZ21" s="381"/>
      <c r="UA21" s="381"/>
      <c r="UB21" s="381"/>
      <c r="UC21" s="381"/>
      <c r="UD21" s="381"/>
      <c r="UE21" s="381"/>
      <c r="UF21" s="381"/>
      <c r="UG21" s="381"/>
      <c r="UH21" s="381"/>
      <c r="UI21" s="381"/>
      <c r="UJ21" s="381"/>
      <c r="UK21" s="381"/>
      <c r="UL21" s="381"/>
      <c r="UM21" s="381"/>
      <c r="UN21" s="381"/>
      <c r="UO21" s="381"/>
      <c r="UP21" s="381"/>
      <c r="UQ21" s="381"/>
      <c r="UR21" s="381"/>
      <c r="US21" s="381"/>
      <c r="UT21" s="381"/>
      <c r="UU21" s="381"/>
      <c r="UV21" s="381"/>
      <c r="UW21" s="381"/>
      <c r="UX21" s="381"/>
      <c r="UY21" s="381"/>
      <c r="UZ21" s="381"/>
      <c r="VA21" s="381"/>
      <c r="VB21" s="381"/>
      <c r="VC21" s="381"/>
      <c r="VD21" s="381"/>
      <c r="VE21" s="381"/>
      <c r="VF21" s="381"/>
      <c r="VG21" s="381"/>
      <c r="VH21" s="381"/>
      <c r="VI21" s="381"/>
      <c r="VJ21" s="381"/>
      <c r="VK21" s="381"/>
      <c r="VL21" s="381"/>
      <c r="VM21" s="381"/>
      <c r="VN21" s="381"/>
      <c r="VO21" s="381"/>
      <c r="VP21" s="381"/>
      <c r="VQ21" s="381"/>
      <c r="VR21" s="381"/>
      <c r="VS21" s="381"/>
      <c r="VT21" s="381"/>
      <c r="VU21" s="381"/>
      <c r="VV21" s="381"/>
      <c r="VW21" s="381"/>
      <c r="VX21" s="381"/>
      <c r="VY21" s="381"/>
      <c r="VZ21" s="381"/>
      <c r="WA21" s="381"/>
      <c r="WB21" s="381"/>
      <c r="WC21" s="381"/>
      <c r="WD21" s="381"/>
      <c r="WE21" s="381"/>
      <c r="WF21" s="381"/>
      <c r="WG21" s="381"/>
      <c r="WH21" s="381"/>
      <c r="WI21" s="381"/>
      <c r="WJ21" s="381"/>
      <c r="WK21" s="381"/>
      <c r="WL21" s="381"/>
      <c r="WM21" s="381"/>
      <c r="WN21" s="381"/>
      <c r="WO21" s="381"/>
      <c r="WP21" s="381"/>
      <c r="WQ21" s="381"/>
      <c r="WR21" s="381"/>
      <c r="WS21" s="381"/>
      <c r="WT21" s="381"/>
      <c r="WU21" s="381"/>
      <c r="WV21" s="381"/>
      <c r="WW21" s="381"/>
      <c r="WX21" s="381"/>
      <c r="WY21" s="381"/>
      <c r="WZ21" s="381"/>
      <c r="XA21" s="381"/>
      <c r="XB21" s="381"/>
      <c r="XC21" s="381"/>
      <c r="XD21" s="381"/>
      <c r="XE21" s="381"/>
      <c r="XF21" s="381"/>
      <c r="XG21" s="381"/>
      <c r="XH21" s="381"/>
      <c r="XI21" s="381"/>
      <c r="XJ21" s="381"/>
      <c r="XK21" s="381"/>
      <c r="XL21" s="381"/>
      <c r="XM21" s="381"/>
      <c r="XN21" s="381"/>
      <c r="XO21" s="381"/>
      <c r="XP21" s="381"/>
      <c r="XQ21" s="381"/>
      <c r="XR21" s="381"/>
      <c r="XS21" s="381"/>
      <c r="XT21" s="381"/>
      <c r="XU21" s="381"/>
      <c r="XV21" s="381"/>
      <c r="XW21" s="381"/>
      <c r="XX21" s="381"/>
      <c r="XY21" s="381"/>
      <c r="XZ21" s="381"/>
      <c r="YA21" s="381"/>
      <c r="YB21" s="381"/>
      <c r="YC21" s="381"/>
      <c r="YD21" s="381"/>
      <c r="YE21" s="381"/>
      <c r="YF21" s="381"/>
      <c r="YG21" s="381"/>
      <c r="YH21" s="381"/>
      <c r="YI21" s="381"/>
      <c r="YJ21" s="381"/>
      <c r="YK21" s="381"/>
      <c r="YL21" s="381"/>
      <c r="YM21" s="381"/>
      <c r="YN21" s="381"/>
      <c r="YO21" s="381"/>
      <c r="YP21" s="381"/>
      <c r="YQ21" s="381"/>
      <c r="YR21" s="381"/>
      <c r="YS21" s="381"/>
      <c r="YT21" s="381"/>
      <c r="YU21" s="381"/>
      <c r="YV21" s="381"/>
      <c r="YW21" s="381"/>
      <c r="YX21" s="381"/>
      <c r="YY21" s="381"/>
      <c r="YZ21" s="381"/>
      <c r="ZA21" s="381"/>
      <c r="ZB21" s="381"/>
      <c r="ZC21" s="381"/>
      <c r="ZD21" s="381"/>
      <c r="ZE21" s="381"/>
      <c r="ZF21" s="381"/>
      <c r="ZG21" s="381"/>
      <c r="ZH21" s="381"/>
      <c r="ZI21" s="381"/>
      <c r="ZJ21" s="381"/>
      <c r="ZK21" s="381"/>
      <c r="ZL21" s="381"/>
      <c r="ZM21" s="381"/>
      <c r="ZN21" s="381"/>
      <c r="ZO21" s="381"/>
      <c r="ZP21" s="381"/>
      <c r="ZQ21" s="381"/>
      <c r="ZR21" s="381"/>
      <c r="ZS21" s="381"/>
      <c r="ZT21" s="381"/>
      <c r="ZU21" s="381"/>
      <c r="ZV21" s="381"/>
      <c r="ZW21" s="381"/>
      <c r="ZX21" s="381"/>
      <c r="ZY21" s="381"/>
      <c r="ZZ21" s="381"/>
      <c r="AAA21" s="381"/>
      <c r="AAB21" s="381"/>
      <c r="AAC21" s="381"/>
      <c r="AAD21" s="381"/>
      <c r="AAE21" s="381"/>
      <c r="AAF21" s="381"/>
      <c r="AAG21" s="381"/>
      <c r="AAH21" s="381"/>
      <c r="AAI21" s="381"/>
      <c r="AAJ21" s="381"/>
      <c r="AAK21" s="381"/>
      <c r="AAL21" s="381"/>
      <c r="AAM21" s="381"/>
      <c r="AAN21" s="381"/>
      <c r="AAO21" s="381"/>
      <c r="AAP21" s="381"/>
      <c r="AAQ21" s="381"/>
      <c r="AAR21" s="381"/>
      <c r="AAS21" s="381"/>
      <c r="AAT21" s="381"/>
      <c r="AAU21" s="381"/>
      <c r="AAV21" s="381"/>
      <c r="AAW21" s="381"/>
      <c r="AAX21" s="381"/>
      <c r="AAY21" s="381"/>
      <c r="AAZ21" s="381"/>
      <c r="ABA21" s="381"/>
      <c r="ABB21" s="381"/>
      <c r="ABC21" s="381"/>
      <c r="ABD21" s="381"/>
      <c r="ABE21" s="381"/>
      <c r="ABF21" s="381"/>
      <c r="ABG21" s="381"/>
      <c r="ABH21" s="381"/>
      <c r="ABI21" s="381"/>
      <c r="ABJ21" s="381"/>
      <c r="ABK21" s="381"/>
      <c r="ABL21" s="381"/>
      <c r="ABM21" s="381"/>
      <c r="ABN21" s="381"/>
      <c r="ABO21" s="381"/>
      <c r="ABP21" s="381"/>
      <c r="ABQ21" s="381"/>
      <c r="ABR21" s="381"/>
      <c r="ABS21" s="381"/>
      <c r="ABT21" s="381"/>
      <c r="ABU21" s="381"/>
      <c r="ABV21" s="381"/>
      <c r="ABW21" s="381"/>
      <c r="ABX21" s="381"/>
      <c r="ABY21" s="381"/>
      <c r="ABZ21" s="381"/>
      <c r="ACA21" s="381"/>
      <c r="ACB21" s="381"/>
      <c r="ACC21" s="381"/>
      <c r="ACD21" s="381"/>
      <c r="ACE21" s="381"/>
      <c r="ACF21" s="381"/>
      <c r="ACG21" s="381"/>
      <c r="ACH21" s="381"/>
      <c r="ACI21" s="381"/>
      <c r="ACJ21" s="381"/>
      <c r="ACK21" s="381"/>
      <c r="ACL21" s="381"/>
      <c r="ACM21" s="381"/>
      <c r="ACN21" s="381"/>
      <c r="ACO21" s="381"/>
      <c r="ACP21" s="381"/>
      <c r="ACQ21" s="381"/>
      <c r="ACR21" s="381"/>
      <c r="ACS21" s="381"/>
      <c r="ACT21" s="381"/>
      <c r="ACU21" s="381"/>
      <c r="ACV21" s="381"/>
      <c r="ACW21" s="381"/>
      <c r="ACX21" s="381"/>
      <c r="ACY21" s="381"/>
      <c r="ACZ21" s="381"/>
      <c r="ADA21" s="381"/>
      <c r="ADB21" s="381"/>
      <c r="ADC21" s="381"/>
      <c r="ADD21" s="381"/>
      <c r="ADE21" s="381"/>
      <c r="ADF21" s="381"/>
      <c r="ADG21" s="381"/>
      <c r="ADH21" s="381"/>
      <c r="ADI21" s="381"/>
      <c r="ADJ21" s="381"/>
      <c r="ADK21" s="381"/>
      <c r="ADL21" s="381"/>
      <c r="ADM21" s="381"/>
      <c r="ADN21" s="381"/>
      <c r="ADO21" s="381"/>
      <c r="ADP21" s="381"/>
      <c r="ADQ21" s="381"/>
      <c r="ADR21" s="381"/>
      <c r="ADS21" s="381"/>
      <c r="ADT21" s="381"/>
      <c r="ADU21" s="381"/>
      <c r="ADV21" s="381"/>
      <c r="ADW21" s="381"/>
      <c r="ADX21" s="381"/>
      <c r="ADY21" s="381"/>
      <c r="ADZ21" s="381"/>
      <c r="AEA21" s="381"/>
      <c r="AEB21" s="381"/>
      <c r="AEC21" s="381"/>
      <c r="AED21" s="381"/>
      <c r="AEE21" s="381"/>
      <c r="AEF21" s="381"/>
      <c r="AEG21" s="381"/>
      <c r="AEH21" s="381"/>
      <c r="AEI21" s="381"/>
      <c r="AEJ21" s="381"/>
      <c r="AEK21" s="381"/>
      <c r="AEL21" s="381"/>
      <c r="AEM21" s="381"/>
      <c r="AEN21" s="381"/>
      <c r="AEO21" s="381"/>
      <c r="AEP21" s="381"/>
      <c r="AEQ21" s="381"/>
      <c r="AER21" s="381"/>
      <c r="AES21" s="381"/>
      <c r="AET21" s="381"/>
      <c r="AEU21" s="381"/>
      <c r="AEV21" s="381"/>
      <c r="AEW21" s="381"/>
      <c r="AEX21" s="381"/>
      <c r="AEY21" s="381"/>
      <c r="AEZ21" s="381"/>
      <c r="AFA21" s="381"/>
      <c r="AFB21" s="381"/>
      <c r="AFC21" s="381"/>
      <c r="AFD21" s="381"/>
      <c r="AFE21" s="381"/>
      <c r="AFF21" s="381"/>
      <c r="AFG21" s="381"/>
      <c r="AFH21" s="381"/>
      <c r="AFI21" s="381"/>
      <c r="AFJ21" s="381"/>
      <c r="AFK21" s="381"/>
      <c r="AFL21" s="381"/>
      <c r="AFM21" s="381"/>
      <c r="AFN21" s="381"/>
      <c r="AFO21" s="381"/>
      <c r="AFP21" s="381"/>
      <c r="AFQ21" s="381"/>
      <c r="AFR21" s="381"/>
      <c r="AFS21" s="381"/>
      <c r="AFT21" s="381"/>
      <c r="AFU21" s="381"/>
      <c r="AFV21" s="381"/>
      <c r="AFW21" s="381"/>
      <c r="AFX21" s="381"/>
      <c r="AFY21" s="381"/>
      <c r="AFZ21" s="381"/>
      <c r="AGA21" s="381"/>
      <c r="AGB21" s="381"/>
      <c r="AGC21" s="381"/>
      <c r="AGD21" s="381"/>
      <c r="AGE21" s="381"/>
      <c r="AGF21" s="381"/>
      <c r="AGG21" s="381"/>
      <c r="AGH21" s="381"/>
      <c r="AGI21" s="381"/>
      <c r="AGJ21" s="381"/>
      <c r="AGK21" s="381"/>
      <c r="AGL21" s="381"/>
      <c r="AGM21" s="381"/>
      <c r="AGN21" s="381"/>
      <c r="AGO21" s="381"/>
      <c r="AGP21" s="381"/>
      <c r="AGQ21" s="381"/>
      <c r="AGR21" s="381"/>
      <c r="AGS21" s="381"/>
      <c r="AGT21" s="381"/>
      <c r="AGU21" s="381"/>
      <c r="AGV21" s="381"/>
      <c r="AGW21" s="381"/>
      <c r="AGX21" s="381"/>
      <c r="AGY21" s="381"/>
      <c r="AGZ21" s="381"/>
      <c r="AHA21" s="381"/>
      <c r="AHB21" s="381"/>
      <c r="AHC21" s="381"/>
      <c r="AHD21" s="381"/>
      <c r="AHE21" s="381"/>
      <c r="AHF21" s="381"/>
      <c r="AHG21" s="381"/>
      <c r="AHH21" s="381"/>
      <c r="AHI21" s="381"/>
      <c r="AHJ21" s="381"/>
      <c r="AHK21" s="381"/>
      <c r="AHL21" s="381"/>
      <c r="AHM21" s="381"/>
      <c r="AHN21" s="381"/>
      <c r="AHO21" s="381"/>
      <c r="AHP21" s="381"/>
      <c r="AHQ21" s="381"/>
      <c r="AHR21" s="381"/>
      <c r="AHS21" s="381"/>
      <c r="AHT21" s="381"/>
      <c r="AHU21" s="381"/>
      <c r="AHV21" s="381"/>
      <c r="AHW21" s="381"/>
      <c r="AHX21" s="381"/>
      <c r="AHY21" s="381"/>
      <c r="AHZ21" s="381"/>
      <c r="AIA21" s="381"/>
      <c r="AIB21" s="381"/>
      <c r="AIC21" s="381"/>
      <c r="AID21" s="381"/>
      <c r="AIE21" s="381"/>
      <c r="AIF21" s="381"/>
      <c r="AIG21" s="381"/>
      <c r="AIH21" s="381"/>
      <c r="AII21" s="381"/>
      <c r="AIJ21" s="381"/>
      <c r="AIK21" s="381"/>
      <c r="AIL21" s="381"/>
      <c r="AIM21" s="381"/>
      <c r="AIN21" s="381"/>
      <c r="AIO21" s="381"/>
      <c r="AIP21" s="381"/>
      <c r="AIQ21" s="381"/>
      <c r="AIR21" s="381"/>
      <c r="AIS21" s="381"/>
      <c r="AIT21" s="381"/>
      <c r="AIU21" s="381"/>
      <c r="AIV21" s="381"/>
      <c r="AIW21" s="381"/>
      <c r="AIX21" s="381"/>
      <c r="AIY21" s="381"/>
      <c r="AIZ21" s="381"/>
      <c r="AJA21" s="381"/>
      <c r="AJB21" s="381"/>
      <c r="AJC21" s="381"/>
      <c r="AJD21" s="381"/>
      <c r="AJE21" s="381"/>
      <c r="AJF21" s="381"/>
      <c r="AJG21" s="381"/>
      <c r="AJH21" s="381"/>
      <c r="AJI21" s="381"/>
      <c r="AJJ21" s="381"/>
      <c r="AJK21" s="381"/>
      <c r="AJL21" s="381"/>
      <c r="AJM21" s="381"/>
      <c r="AJN21" s="381"/>
      <c r="AJO21" s="381"/>
      <c r="AJP21" s="381"/>
      <c r="AJQ21" s="381"/>
      <c r="AJR21" s="381"/>
      <c r="AJS21" s="381"/>
      <c r="AJT21" s="381"/>
      <c r="AJU21" s="381"/>
      <c r="AJV21" s="381"/>
      <c r="AJW21" s="381"/>
      <c r="AJX21" s="381"/>
      <c r="AJY21" s="381"/>
      <c r="AJZ21" s="381"/>
      <c r="AKA21" s="381"/>
      <c r="AKB21" s="381"/>
      <c r="AKC21" s="381"/>
      <c r="AKD21" s="381"/>
      <c r="AKE21" s="381"/>
      <c r="AKF21" s="381"/>
      <c r="AKG21" s="381"/>
      <c r="AKH21" s="381"/>
      <c r="AKI21" s="381"/>
      <c r="AKJ21" s="381"/>
      <c r="AKK21" s="381"/>
      <c r="AKL21" s="381"/>
      <c r="AKM21" s="381"/>
      <c r="AKN21" s="381"/>
      <c r="AKO21" s="381"/>
      <c r="AKP21" s="381"/>
      <c r="AKQ21" s="381"/>
      <c r="AKR21" s="381"/>
      <c r="AKS21" s="381"/>
      <c r="AKT21" s="381"/>
      <c r="AKU21" s="381"/>
      <c r="AKV21" s="381"/>
      <c r="AKW21" s="381"/>
      <c r="AKX21" s="381"/>
      <c r="AKY21" s="381"/>
      <c r="AKZ21" s="381"/>
      <c r="ALA21" s="381"/>
      <c r="ALB21" s="381"/>
      <c r="ALC21" s="381"/>
    </row>
    <row r="22" spans="1:991" s="400" customFormat="1" ht="86.25" customHeight="1" thickBot="1" x14ac:dyDescent="0.3">
      <c r="A22" s="381"/>
      <c r="B22" s="360"/>
      <c r="C22" s="361" t="e">
        <f>J22-#REF!</f>
        <v>#REF!</v>
      </c>
      <c r="D22" s="362" t="s">
        <v>463</v>
      </c>
      <c r="E22" s="382"/>
      <c r="F22" s="383">
        <v>607</v>
      </c>
      <c r="G22" s="384"/>
      <c r="H22" s="385" t="s">
        <v>112</v>
      </c>
      <c r="I22" s="386" t="s">
        <v>464</v>
      </c>
      <c r="J22" s="387">
        <v>74224.800000000003</v>
      </c>
      <c r="K22" s="388">
        <v>74224.800000000003</v>
      </c>
      <c r="L22" s="389">
        <v>0</v>
      </c>
      <c r="M22" s="390">
        <v>0</v>
      </c>
      <c r="N22" s="390">
        <v>0</v>
      </c>
      <c r="O22" s="391">
        <v>0</v>
      </c>
      <c r="P22" s="389"/>
      <c r="Q22" s="390"/>
      <c r="R22" s="390"/>
      <c r="S22" s="392"/>
      <c r="T22" s="393"/>
      <c r="U22" s="389"/>
      <c r="V22" s="390"/>
      <c r="W22" s="390"/>
      <c r="X22" s="390"/>
      <c r="Y22" s="390"/>
      <c r="Z22" s="390"/>
      <c r="AA22" s="390"/>
      <c r="AB22" s="392"/>
      <c r="AC22" s="392"/>
      <c r="AD22" s="392"/>
      <c r="AE22" s="392"/>
      <c r="AF22" s="390"/>
      <c r="AG22" s="392"/>
      <c r="AH22" s="394"/>
      <c r="AI22" s="393"/>
      <c r="AJ22" s="389"/>
      <c r="AK22" s="390"/>
      <c r="AL22" s="395"/>
      <c r="AM22" s="376">
        <v>74224.800000000003</v>
      </c>
      <c r="AN22" s="395"/>
      <c r="AO22" s="376">
        <v>0</v>
      </c>
      <c r="AP22" s="396">
        <v>74224.800000000003</v>
      </c>
      <c r="AQ22" s="390"/>
      <c r="AR22" s="390"/>
      <c r="AS22" s="390">
        <v>0</v>
      </c>
      <c r="AT22" s="392"/>
      <c r="AU22" s="392"/>
      <c r="AV22" s="390"/>
      <c r="AW22" s="392"/>
      <c r="AX22" s="393"/>
      <c r="AY22" s="389"/>
      <c r="AZ22" s="397"/>
      <c r="BA22" s="398"/>
      <c r="BB22" s="399"/>
      <c r="BC22" s="381"/>
      <c r="BD22" s="381"/>
      <c r="BE22" s="381"/>
      <c r="BF22" s="381"/>
      <c r="BG22" s="381"/>
      <c r="BH22" s="381"/>
      <c r="BI22" s="381"/>
      <c r="BJ22" s="381"/>
      <c r="BK22" s="381"/>
      <c r="BL22" s="381"/>
      <c r="BM22" s="381"/>
      <c r="BN22" s="381"/>
      <c r="BO22" s="381"/>
      <c r="BP22" s="381"/>
      <c r="BQ22" s="381"/>
      <c r="BR22" s="381"/>
      <c r="BS22" s="381"/>
      <c r="BT22" s="381"/>
      <c r="BU22" s="381"/>
      <c r="BV22" s="381"/>
      <c r="BW22" s="381"/>
      <c r="BX22" s="381"/>
      <c r="BY22" s="381"/>
      <c r="BZ22" s="381"/>
      <c r="CA22" s="381"/>
      <c r="CB22" s="381"/>
      <c r="CC22" s="381"/>
      <c r="CD22" s="381"/>
      <c r="CE22" s="381"/>
      <c r="CF22" s="381"/>
      <c r="CG22" s="381"/>
      <c r="CH22" s="381"/>
      <c r="CI22" s="381"/>
      <c r="CJ22" s="381"/>
      <c r="CK22" s="381"/>
      <c r="CL22" s="381"/>
      <c r="CM22" s="381"/>
      <c r="CN22" s="381"/>
      <c r="CO22" s="381"/>
      <c r="CP22" s="381"/>
      <c r="CQ22" s="381"/>
      <c r="CR22" s="381"/>
      <c r="CS22" s="381"/>
      <c r="CT22" s="381"/>
      <c r="CU22" s="381"/>
      <c r="CV22" s="381"/>
      <c r="CW22" s="381"/>
      <c r="CX22" s="381"/>
      <c r="CY22" s="381"/>
      <c r="CZ22" s="381"/>
      <c r="DA22" s="381"/>
      <c r="DB22" s="381"/>
      <c r="DC22" s="381"/>
      <c r="DD22" s="381"/>
      <c r="DE22" s="381"/>
      <c r="DF22" s="381"/>
      <c r="DG22" s="381"/>
      <c r="DH22" s="381"/>
      <c r="DI22" s="381"/>
      <c r="DJ22" s="381"/>
      <c r="DK22" s="381"/>
      <c r="DL22" s="381"/>
      <c r="DM22" s="381"/>
      <c r="DN22" s="381"/>
      <c r="DO22" s="381"/>
      <c r="DP22" s="381"/>
      <c r="DQ22" s="381"/>
      <c r="DR22" s="381"/>
      <c r="DS22" s="381"/>
      <c r="DT22" s="381"/>
      <c r="DU22" s="381"/>
      <c r="DV22" s="381"/>
      <c r="DW22" s="381"/>
      <c r="DX22" s="381"/>
      <c r="DY22" s="381"/>
      <c r="DZ22" s="381"/>
      <c r="EA22" s="381"/>
      <c r="EB22" s="381"/>
      <c r="EC22" s="381"/>
      <c r="ED22" s="381"/>
      <c r="EE22" s="381"/>
      <c r="EF22" s="381"/>
      <c r="EG22" s="381"/>
      <c r="EH22" s="381"/>
      <c r="EI22" s="381"/>
      <c r="EJ22" s="381"/>
      <c r="EK22" s="381"/>
      <c r="EL22" s="381"/>
      <c r="EM22" s="381"/>
      <c r="EN22" s="381"/>
      <c r="EO22" s="381"/>
      <c r="EP22" s="381"/>
      <c r="EQ22" s="381"/>
      <c r="ER22" s="381"/>
      <c r="ES22" s="381"/>
      <c r="ET22" s="381"/>
      <c r="EU22" s="381"/>
      <c r="EV22" s="381"/>
      <c r="EW22" s="381"/>
      <c r="EX22" s="381"/>
      <c r="EY22" s="381"/>
      <c r="EZ22" s="381"/>
      <c r="FA22" s="381"/>
      <c r="FB22" s="381"/>
      <c r="FC22" s="381"/>
      <c r="FD22" s="381"/>
      <c r="FE22" s="381"/>
      <c r="FF22" s="381"/>
      <c r="FG22" s="381"/>
      <c r="FH22" s="381"/>
      <c r="FI22" s="381"/>
      <c r="FJ22" s="381"/>
      <c r="FK22" s="381"/>
      <c r="FL22" s="381"/>
      <c r="FM22" s="381"/>
      <c r="FN22" s="381"/>
      <c r="FO22" s="381"/>
      <c r="FP22" s="381"/>
      <c r="FQ22" s="381"/>
      <c r="FR22" s="381"/>
      <c r="FS22" s="381"/>
      <c r="FT22" s="381"/>
      <c r="FU22" s="381"/>
      <c r="FV22" s="381"/>
      <c r="FW22" s="381"/>
      <c r="FX22" s="381"/>
      <c r="FY22" s="381"/>
      <c r="FZ22" s="381"/>
      <c r="GA22" s="381"/>
      <c r="GB22" s="381"/>
      <c r="GC22" s="381"/>
      <c r="GD22" s="381"/>
      <c r="GE22" s="381"/>
      <c r="GF22" s="381"/>
      <c r="GG22" s="381"/>
      <c r="GH22" s="381"/>
      <c r="GI22" s="381"/>
      <c r="GJ22" s="381"/>
      <c r="GK22" s="381"/>
      <c r="GL22" s="381"/>
      <c r="GM22" s="381"/>
      <c r="GN22" s="381"/>
      <c r="GO22" s="381"/>
      <c r="GP22" s="381"/>
      <c r="GQ22" s="381"/>
      <c r="GR22" s="381"/>
      <c r="GS22" s="381"/>
      <c r="GT22" s="381"/>
      <c r="GU22" s="381"/>
      <c r="GV22" s="381"/>
      <c r="GW22" s="381"/>
      <c r="GX22" s="381"/>
      <c r="GY22" s="381"/>
      <c r="GZ22" s="381"/>
      <c r="HA22" s="381"/>
      <c r="HB22" s="381"/>
      <c r="HC22" s="381"/>
      <c r="HD22" s="381"/>
      <c r="HE22" s="381"/>
      <c r="HF22" s="381"/>
      <c r="HG22" s="381"/>
      <c r="HH22" s="381"/>
      <c r="HI22" s="381"/>
      <c r="HJ22" s="381"/>
      <c r="HK22" s="381"/>
      <c r="HL22" s="381"/>
      <c r="HM22" s="381"/>
      <c r="HN22" s="381"/>
      <c r="HO22" s="381"/>
      <c r="HP22" s="381"/>
      <c r="HQ22" s="381"/>
      <c r="HR22" s="381"/>
      <c r="HS22" s="381"/>
      <c r="HT22" s="381"/>
      <c r="HU22" s="381"/>
      <c r="HV22" s="381"/>
      <c r="HW22" s="381"/>
      <c r="HX22" s="381"/>
      <c r="HY22" s="381"/>
      <c r="HZ22" s="381"/>
      <c r="IA22" s="381"/>
      <c r="IB22" s="381"/>
      <c r="IC22" s="381"/>
      <c r="ID22" s="381"/>
      <c r="IE22" s="381"/>
      <c r="IF22" s="381"/>
      <c r="IG22" s="381"/>
      <c r="IH22" s="381"/>
      <c r="II22" s="381"/>
      <c r="IJ22" s="381"/>
      <c r="IK22" s="381"/>
      <c r="IL22" s="381"/>
      <c r="IM22" s="381"/>
      <c r="IN22" s="381"/>
      <c r="IO22" s="381"/>
      <c r="IP22" s="381"/>
      <c r="IQ22" s="381"/>
      <c r="IR22" s="381"/>
      <c r="IS22" s="381"/>
      <c r="IT22" s="381"/>
      <c r="IU22" s="381"/>
      <c r="IV22" s="381"/>
      <c r="IW22" s="381"/>
      <c r="IX22" s="381"/>
      <c r="IY22" s="381"/>
      <c r="IZ22" s="381"/>
      <c r="JA22" s="381"/>
      <c r="JB22" s="381"/>
      <c r="JC22" s="381"/>
      <c r="JD22" s="381"/>
      <c r="JE22" s="381"/>
      <c r="JF22" s="381"/>
      <c r="JG22" s="381"/>
      <c r="JH22" s="381"/>
      <c r="JI22" s="381"/>
      <c r="JJ22" s="381"/>
      <c r="JK22" s="381"/>
      <c r="JL22" s="381"/>
      <c r="JM22" s="381"/>
      <c r="JN22" s="381"/>
      <c r="JO22" s="381"/>
      <c r="JP22" s="381"/>
      <c r="JQ22" s="381"/>
      <c r="JR22" s="381"/>
      <c r="JS22" s="381"/>
      <c r="JT22" s="381"/>
      <c r="JU22" s="381"/>
      <c r="JV22" s="381"/>
      <c r="JW22" s="381"/>
      <c r="JX22" s="381"/>
      <c r="JY22" s="381"/>
      <c r="JZ22" s="381"/>
      <c r="KA22" s="381"/>
      <c r="KB22" s="381"/>
      <c r="KC22" s="381"/>
      <c r="KD22" s="381"/>
      <c r="KE22" s="381"/>
      <c r="KF22" s="381"/>
      <c r="KG22" s="381"/>
      <c r="KH22" s="381"/>
      <c r="KI22" s="381"/>
      <c r="KJ22" s="381"/>
      <c r="KK22" s="381"/>
      <c r="KL22" s="381"/>
      <c r="KM22" s="381"/>
      <c r="KN22" s="381"/>
      <c r="KO22" s="381"/>
      <c r="KP22" s="381"/>
      <c r="KQ22" s="381"/>
      <c r="KR22" s="381"/>
      <c r="KS22" s="381"/>
      <c r="KT22" s="381"/>
      <c r="KU22" s="381"/>
      <c r="KV22" s="381"/>
      <c r="KW22" s="381"/>
      <c r="KX22" s="381"/>
      <c r="KY22" s="381"/>
      <c r="KZ22" s="381"/>
      <c r="LA22" s="381"/>
      <c r="LB22" s="381"/>
      <c r="LC22" s="381"/>
      <c r="LD22" s="381"/>
      <c r="LE22" s="381"/>
      <c r="LF22" s="381"/>
      <c r="LG22" s="381"/>
      <c r="LH22" s="381"/>
      <c r="LI22" s="381"/>
      <c r="LJ22" s="381"/>
      <c r="LK22" s="381"/>
      <c r="LL22" s="381"/>
      <c r="LM22" s="381"/>
      <c r="LN22" s="381"/>
      <c r="LO22" s="381"/>
      <c r="LP22" s="381"/>
      <c r="LQ22" s="381"/>
      <c r="LR22" s="381"/>
      <c r="LS22" s="381"/>
      <c r="LT22" s="381"/>
      <c r="LU22" s="381"/>
      <c r="LV22" s="381"/>
      <c r="LW22" s="381"/>
      <c r="LX22" s="381"/>
      <c r="LY22" s="381"/>
      <c r="LZ22" s="381"/>
      <c r="MA22" s="381"/>
      <c r="MB22" s="381"/>
      <c r="MC22" s="381"/>
      <c r="MD22" s="381"/>
      <c r="ME22" s="381"/>
      <c r="MF22" s="381"/>
      <c r="MG22" s="381"/>
      <c r="MH22" s="381"/>
      <c r="MI22" s="381"/>
      <c r="MJ22" s="381"/>
      <c r="MK22" s="381"/>
      <c r="ML22" s="381"/>
      <c r="MM22" s="381"/>
      <c r="MN22" s="381"/>
      <c r="MO22" s="381"/>
      <c r="MP22" s="381"/>
      <c r="MQ22" s="381"/>
      <c r="MR22" s="381"/>
      <c r="MS22" s="381"/>
      <c r="MT22" s="381"/>
      <c r="MU22" s="381"/>
      <c r="MV22" s="381"/>
      <c r="MW22" s="381"/>
      <c r="MX22" s="381"/>
      <c r="MY22" s="381"/>
      <c r="MZ22" s="381"/>
      <c r="NA22" s="381"/>
      <c r="NB22" s="381"/>
      <c r="NC22" s="381"/>
      <c r="ND22" s="381"/>
      <c r="NE22" s="381"/>
      <c r="NF22" s="381"/>
      <c r="NG22" s="381"/>
      <c r="NH22" s="381"/>
      <c r="NI22" s="381"/>
      <c r="NJ22" s="381"/>
      <c r="NK22" s="381"/>
      <c r="NL22" s="381"/>
      <c r="NM22" s="381"/>
      <c r="NN22" s="381"/>
      <c r="NO22" s="381"/>
      <c r="NP22" s="381"/>
      <c r="NQ22" s="381"/>
      <c r="NR22" s="381"/>
      <c r="NS22" s="381"/>
      <c r="NT22" s="381"/>
      <c r="NU22" s="381"/>
      <c r="NV22" s="381"/>
      <c r="NW22" s="381"/>
      <c r="NX22" s="381"/>
      <c r="NY22" s="381"/>
      <c r="NZ22" s="381"/>
      <c r="OA22" s="381"/>
      <c r="OB22" s="381"/>
      <c r="OC22" s="381"/>
      <c r="OD22" s="381"/>
      <c r="OE22" s="381"/>
      <c r="OF22" s="381"/>
      <c r="OG22" s="381"/>
      <c r="OH22" s="381"/>
      <c r="OI22" s="381"/>
      <c r="OJ22" s="381"/>
      <c r="OK22" s="381"/>
      <c r="OL22" s="381"/>
      <c r="OM22" s="381"/>
      <c r="ON22" s="381"/>
      <c r="OO22" s="381"/>
      <c r="OP22" s="381"/>
      <c r="OQ22" s="381"/>
      <c r="OR22" s="381"/>
      <c r="OS22" s="381"/>
      <c r="OT22" s="381"/>
      <c r="OU22" s="381"/>
      <c r="OV22" s="381"/>
      <c r="OW22" s="381"/>
      <c r="OX22" s="381"/>
      <c r="OY22" s="381"/>
      <c r="OZ22" s="381"/>
      <c r="PA22" s="381"/>
      <c r="PB22" s="381"/>
      <c r="PC22" s="381"/>
      <c r="PD22" s="381"/>
      <c r="PE22" s="381"/>
      <c r="PF22" s="381"/>
      <c r="PG22" s="381"/>
      <c r="PH22" s="381"/>
      <c r="PI22" s="381"/>
      <c r="PJ22" s="381"/>
      <c r="PK22" s="381"/>
      <c r="PL22" s="381"/>
      <c r="PM22" s="381"/>
      <c r="PN22" s="381"/>
      <c r="PO22" s="381"/>
      <c r="PP22" s="381"/>
      <c r="PQ22" s="381"/>
      <c r="PR22" s="381"/>
      <c r="PS22" s="381"/>
      <c r="PT22" s="381"/>
      <c r="PU22" s="381"/>
      <c r="PV22" s="381"/>
      <c r="PW22" s="381"/>
      <c r="PX22" s="381"/>
      <c r="PY22" s="381"/>
      <c r="PZ22" s="381"/>
      <c r="QA22" s="381"/>
      <c r="QB22" s="381"/>
      <c r="QC22" s="381"/>
      <c r="QD22" s="381"/>
      <c r="QE22" s="381"/>
      <c r="QF22" s="381"/>
      <c r="QG22" s="381"/>
      <c r="QH22" s="381"/>
      <c r="QI22" s="381"/>
      <c r="QJ22" s="381"/>
      <c r="QK22" s="381"/>
      <c r="QL22" s="381"/>
      <c r="QM22" s="381"/>
      <c r="QN22" s="381"/>
      <c r="QO22" s="381"/>
      <c r="QP22" s="381"/>
      <c r="QQ22" s="381"/>
      <c r="QR22" s="381"/>
      <c r="QS22" s="381"/>
      <c r="QT22" s="381"/>
      <c r="QU22" s="381"/>
      <c r="QV22" s="381"/>
      <c r="QW22" s="381"/>
      <c r="QX22" s="381"/>
      <c r="QY22" s="381"/>
      <c r="QZ22" s="381"/>
      <c r="RA22" s="381"/>
      <c r="RB22" s="381"/>
      <c r="RC22" s="381"/>
      <c r="RD22" s="381"/>
      <c r="RE22" s="381"/>
      <c r="RF22" s="381"/>
      <c r="RG22" s="381"/>
      <c r="RH22" s="381"/>
      <c r="RI22" s="381"/>
      <c r="RJ22" s="381"/>
      <c r="RK22" s="381"/>
      <c r="RL22" s="381"/>
      <c r="RM22" s="381"/>
      <c r="RN22" s="381"/>
      <c r="RO22" s="381"/>
      <c r="RP22" s="381"/>
      <c r="RQ22" s="381"/>
      <c r="RR22" s="381"/>
      <c r="RS22" s="381"/>
      <c r="RT22" s="381"/>
      <c r="RU22" s="381"/>
      <c r="RV22" s="381"/>
      <c r="RW22" s="381"/>
      <c r="RX22" s="381"/>
      <c r="RY22" s="381"/>
      <c r="RZ22" s="381"/>
      <c r="SA22" s="381"/>
      <c r="SB22" s="381"/>
      <c r="SC22" s="381"/>
      <c r="SD22" s="381"/>
      <c r="SE22" s="381"/>
      <c r="SF22" s="381"/>
      <c r="SG22" s="381"/>
      <c r="SH22" s="381"/>
      <c r="SI22" s="381"/>
      <c r="SJ22" s="381"/>
      <c r="SK22" s="381"/>
      <c r="SL22" s="381"/>
      <c r="SM22" s="381"/>
      <c r="SN22" s="381"/>
      <c r="SO22" s="381"/>
      <c r="SP22" s="381"/>
      <c r="SQ22" s="381"/>
      <c r="SR22" s="381"/>
      <c r="SS22" s="381"/>
      <c r="ST22" s="381"/>
      <c r="SU22" s="381"/>
      <c r="SV22" s="381"/>
      <c r="SW22" s="381"/>
      <c r="SX22" s="381"/>
      <c r="SY22" s="381"/>
      <c r="SZ22" s="381"/>
      <c r="TA22" s="381"/>
      <c r="TB22" s="381"/>
      <c r="TC22" s="381"/>
      <c r="TD22" s="381"/>
      <c r="TE22" s="381"/>
      <c r="TF22" s="381"/>
      <c r="TG22" s="381"/>
      <c r="TH22" s="381"/>
      <c r="TI22" s="381"/>
      <c r="TJ22" s="381"/>
      <c r="TK22" s="381"/>
      <c r="TL22" s="381"/>
      <c r="TM22" s="381"/>
      <c r="TN22" s="381"/>
      <c r="TO22" s="381"/>
      <c r="TP22" s="381"/>
      <c r="TQ22" s="381"/>
      <c r="TR22" s="381"/>
      <c r="TS22" s="381"/>
      <c r="TT22" s="381"/>
      <c r="TU22" s="381"/>
      <c r="TV22" s="381"/>
      <c r="TW22" s="381"/>
      <c r="TX22" s="381"/>
      <c r="TY22" s="381"/>
      <c r="TZ22" s="381"/>
      <c r="UA22" s="381"/>
      <c r="UB22" s="381"/>
      <c r="UC22" s="381"/>
      <c r="UD22" s="381"/>
      <c r="UE22" s="381"/>
      <c r="UF22" s="381"/>
      <c r="UG22" s="381"/>
      <c r="UH22" s="381"/>
      <c r="UI22" s="381"/>
      <c r="UJ22" s="381"/>
      <c r="UK22" s="381"/>
      <c r="UL22" s="381"/>
      <c r="UM22" s="381"/>
      <c r="UN22" s="381"/>
      <c r="UO22" s="381"/>
      <c r="UP22" s="381"/>
      <c r="UQ22" s="381"/>
      <c r="UR22" s="381"/>
      <c r="US22" s="381"/>
      <c r="UT22" s="381"/>
      <c r="UU22" s="381"/>
      <c r="UV22" s="381"/>
      <c r="UW22" s="381"/>
      <c r="UX22" s="381"/>
      <c r="UY22" s="381"/>
      <c r="UZ22" s="381"/>
      <c r="VA22" s="381"/>
      <c r="VB22" s="381"/>
      <c r="VC22" s="381"/>
      <c r="VD22" s="381"/>
      <c r="VE22" s="381"/>
      <c r="VF22" s="381"/>
      <c r="VG22" s="381"/>
      <c r="VH22" s="381"/>
      <c r="VI22" s="381"/>
      <c r="VJ22" s="381"/>
      <c r="VK22" s="381"/>
      <c r="VL22" s="381"/>
      <c r="VM22" s="381"/>
      <c r="VN22" s="381"/>
      <c r="VO22" s="381"/>
      <c r="VP22" s="381"/>
      <c r="VQ22" s="381"/>
      <c r="VR22" s="381"/>
      <c r="VS22" s="381"/>
      <c r="VT22" s="381"/>
      <c r="VU22" s="381"/>
      <c r="VV22" s="381"/>
      <c r="VW22" s="381"/>
      <c r="VX22" s="381"/>
      <c r="VY22" s="381"/>
      <c r="VZ22" s="381"/>
      <c r="WA22" s="381"/>
      <c r="WB22" s="381"/>
      <c r="WC22" s="381"/>
      <c r="WD22" s="381"/>
      <c r="WE22" s="381"/>
      <c r="WF22" s="381"/>
      <c r="WG22" s="381"/>
      <c r="WH22" s="381"/>
      <c r="WI22" s="381"/>
      <c r="WJ22" s="381"/>
      <c r="WK22" s="381"/>
      <c r="WL22" s="381"/>
      <c r="WM22" s="381"/>
      <c r="WN22" s="381"/>
      <c r="WO22" s="381"/>
      <c r="WP22" s="381"/>
      <c r="WQ22" s="381"/>
      <c r="WR22" s="381"/>
      <c r="WS22" s="381"/>
      <c r="WT22" s="381"/>
      <c r="WU22" s="381"/>
      <c r="WV22" s="381"/>
      <c r="WW22" s="381"/>
      <c r="WX22" s="381"/>
      <c r="WY22" s="381"/>
      <c r="WZ22" s="381"/>
      <c r="XA22" s="381"/>
      <c r="XB22" s="381"/>
      <c r="XC22" s="381"/>
      <c r="XD22" s="381"/>
      <c r="XE22" s="381"/>
      <c r="XF22" s="381"/>
      <c r="XG22" s="381"/>
      <c r="XH22" s="381"/>
      <c r="XI22" s="381"/>
      <c r="XJ22" s="381"/>
      <c r="XK22" s="381"/>
      <c r="XL22" s="381"/>
      <c r="XM22" s="381"/>
      <c r="XN22" s="381"/>
      <c r="XO22" s="381"/>
      <c r="XP22" s="381"/>
      <c r="XQ22" s="381"/>
      <c r="XR22" s="381"/>
      <c r="XS22" s="381"/>
      <c r="XT22" s="381"/>
      <c r="XU22" s="381"/>
      <c r="XV22" s="381"/>
      <c r="XW22" s="381"/>
      <c r="XX22" s="381"/>
      <c r="XY22" s="381"/>
      <c r="XZ22" s="381"/>
      <c r="YA22" s="381"/>
      <c r="YB22" s="381"/>
      <c r="YC22" s="381"/>
      <c r="YD22" s="381"/>
      <c r="YE22" s="381"/>
      <c r="YF22" s="381"/>
      <c r="YG22" s="381"/>
      <c r="YH22" s="381"/>
      <c r="YI22" s="381"/>
      <c r="YJ22" s="381"/>
      <c r="YK22" s="381"/>
      <c r="YL22" s="381"/>
      <c r="YM22" s="381"/>
      <c r="YN22" s="381"/>
      <c r="YO22" s="381"/>
      <c r="YP22" s="381"/>
      <c r="YQ22" s="381"/>
      <c r="YR22" s="381"/>
      <c r="YS22" s="381"/>
      <c r="YT22" s="381"/>
      <c r="YU22" s="381"/>
      <c r="YV22" s="381"/>
      <c r="YW22" s="381"/>
      <c r="YX22" s="381"/>
      <c r="YY22" s="381"/>
      <c r="YZ22" s="381"/>
      <c r="ZA22" s="381"/>
      <c r="ZB22" s="381"/>
      <c r="ZC22" s="381"/>
      <c r="ZD22" s="381"/>
      <c r="ZE22" s="381"/>
      <c r="ZF22" s="381"/>
      <c r="ZG22" s="381"/>
      <c r="ZH22" s="381"/>
      <c r="ZI22" s="381"/>
      <c r="ZJ22" s="381"/>
      <c r="ZK22" s="381"/>
      <c r="ZL22" s="381"/>
      <c r="ZM22" s="381"/>
      <c r="ZN22" s="381"/>
      <c r="ZO22" s="381"/>
      <c r="ZP22" s="381"/>
      <c r="ZQ22" s="381"/>
      <c r="ZR22" s="381"/>
      <c r="ZS22" s="381"/>
      <c r="ZT22" s="381"/>
      <c r="ZU22" s="381"/>
      <c r="ZV22" s="381"/>
      <c r="ZW22" s="381"/>
      <c r="ZX22" s="381"/>
      <c r="ZY22" s="381"/>
      <c r="ZZ22" s="381"/>
      <c r="AAA22" s="381"/>
      <c r="AAB22" s="381"/>
      <c r="AAC22" s="381"/>
      <c r="AAD22" s="381"/>
      <c r="AAE22" s="381"/>
      <c r="AAF22" s="381"/>
      <c r="AAG22" s="381"/>
      <c r="AAH22" s="381"/>
      <c r="AAI22" s="381"/>
      <c r="AAJ22" s="381"/>
      <c r="AAK22" s="381"/>
      <c r="AAL22" s="381"/>
      <c r="AAM22" s="381"/>
      <c r="AAN22" s="381"/>
      <c r="AAO22" s="381"/>
      <c r="AAP22" s="381"/>
      <c r="AAQ22" s="381"/>
      <c r="AAR22" s="381"/>
      <c r="AAS22" s="381"/>
      <c r="AAT22" s="381"/>
      <c r="AAU22" s="381"/>
      <c r="AAV22" s="381"/>
      <c r="AAW22" s="381"/>
      <c r="AAX22" s="381"/>
      <c r="AAY22" s="381"/>
      <c r="AAZ22" s="381"/>
      <c r="ABA22" s="381"/>
      <c r="ABB22" s="381"/>
      <c r="ABC22" s="381"/>
      <c r="ABD22" s="381"/>
      <c r="ABE22" s="381"/>
      <c r="ABF22" s="381"/>
      <c r="ABG22" s="381"/>
      <c r="ABH22" s="381"/>
      <c r="ABI22" s="381"/>
      <c r="ABJ22" s="381"/>
      <c r="ABK22" s="381"/>
      <c r="ABL22" s="381"/>
      <c r="ABM22" s="381"/>
      <c r="ABN22" s="381"/>
      <c r="ABO22" s="381"/>
      <c r="ABP22" s="381"/>
      <c r="ABQ22" s="381"/>
      <c r="ABR22" s="381"/>
      <c r="ABS22" s="381"/>
      <c r="ABT22" s="381"/>
      <c r="ABU22" s="381"/>
      <c r="ABV22" s="381"/>
      <c r="ABW22" s="381"/>
      <c r="ABX22" s="381"/>
      <c r="ABY22" s="381"/>
      <c r="ABZ22" s="381"/>
      <c r="ACA22" s="381"/>
      <c r="ACB22" s="381"/>
      <c r="ACC22" s="381"/>
      <c r="ACD22" s="381"/>
      <c r="ACE22" s="381"/>
      <c r="ACF22" s="381"/>
      <c r="ACG22" s="381"/>
      <c r="ACH22" s="381"/>
      <c r="ACI22" s="381"/>
      <c r="ACJ22" s="381"/>
      <c r="ACK22" s="381"/>
      <c r="ACL22" s="381"/>
      <c r="ACM22" s="381"/>
      <c r="ACN22" s="381"/>
      <c r="ACO22" s="381"/>
      <c r="ACP22" s="381"/>
      <c r="ACQ22" s="381"/>
      <c r="ACR22" s="381"/>
      <c r="ACS22" s="381"/>
      <c r="ACT22" s="381"/>
      <c r="ACU22" s="381"/>
      <c r="ACV22" s="381"/>
      <c r="ACW22" s="381"/>
      <c r="ACX22" s="381"/>
      <c r="ACY22" s="381"/>
      <c r="ACZ22" s="381"/>
      <c r="ADA22" s="381"/>
      <c r="ADB22" s="381"/>
      <c r="ADC22" s="381"/>
      <c r="ADD22" s="381"/>
      <c r="ADE22" s="381"/>
      <c r="ADF22" s="381"/>
      <c r="ADG22" s="381"/>
      <c r="ADH22" s="381"/>
      <c r="ADI22" s="381"/>
      <c r="ADJ22" s="381"/>
      <c r="ADK22" s="381"/>
      <c r="ADL22" s="381"/>
      <c r="ADM22" s="381"/>
      <c r="ADN22" s="381"/>
      <c r="ADO22" s="381"/>
      <c r="ADP22" s="381"/>
      <c r="ADQ22" s="381"/>
      <c r="ADR22" s="381"/>
      <c r="ADS22" s="381"/>
      <c r="ADT22" s="381"/>
      <c r="ADU22" s="381"/>
      <c r="ADV22" s="381"/>
      <c r="ADW22" s="381"/>
      <c r="ADX22" s="381"/>
      <c r="ADY22" s="381"/>
      <c r="ADZ22" s="381"/>
      <c r="AEA22" s="381"/>
      <c r="AEB22" s="381"/>
      <c r="AEC22" s="381"/>
      <c r="AED22" s="381"/>
      <c r="AEE22" s="381"/>
      <c r="AEF22" s="381"/>
      <c r="AEG22" s="381"/>
      <c r="AEH22" s="381"/>
      <c r="AEI22" s="381"/>
      <c r="AEJ22" s="381"/>
      <c r="AEK22" s="381"/>
      <c r="AEL22" s="381"/>
      <c r="AEM22" s="381"/>
      <c r="AEN22" s="381"/>
      <c r="AEO22" s="381"/>
      <c r="AEP22" s="381"/>
      <c r="AEQ22" s="381"/>
      <c r="AER22" s="381"/>
      <c r="AES22" s="381"/>
      <c r="AET22" s="381"/>
      <c r="AEU22" s="381"/>
      <c r="AEV22" s="381"/>
      <c r="AEW22" s="381"/>
      <c r="AEX22" s="381"/>
      <c r="AEY22" s="381"/>
      <c r="AEZ22" s="381"/>
      <c r="AFA22" s="381"/>
      <c r="AFB22" s="381"/>
      <c r="AFC22" s="381"/>
      <c r="AFD22" s="381"/>
      <c r="AFE22" s="381"/>
      <c r="AFF22" s="381"/>
      <c r="AFG22" s="381"/>
      <c r="AFH22" s="381"/>
      <c r="AFI22" s="381"/>
      <c r="AFJ22" s="381"/>
      <c r="AFK22" s="381"/>
      <c r="AFL22" s="381"/>
      <c r="AFM22" s="381"/>
      <c r="AFN22" s="381"/>
      <c r="AFO22" s="381"/>
      <c r="AFP22" s="381"/>
      <c r="AFQ22" s="381"/>
      <c r="AFR22" s="381"/>
      <c r="AFS22" s="381"/>
      <c r="AFT22" s="381"/>
      <c r="AFU22" s="381"/>
      <c r="AFV22" s="381"/>
      <c r="AFW22" s="381"/>
      <c r="AFX22" s="381"/>
      <c r="AFY22" s="381"/>
      <c r="AFZ22" s="381"/>
      <c r="AGA22" s="381"/>
      <c r="AGB22" s="381"/>
      <c r="AGC22" s="381"/>
      <c r="AGD22" s="381"/>
      <c r="AGE22" s="381"/>
      <c r="AGF22" s="381"/>
      <c r="AGG22" s="381"/>
      <c r="AGH22" s="381"/>
      <c r="AGI22" s="381"/>
      <c r="AGJ22" s="381"/>
      <c r="AGK22" s="381"/>
      <c r="AGL22" s="381"/>
      <c r="AGM22" s="381"/>
      <c r="AGN22" s="381"/>
      <c r="AGO22" s="381"/>
      <c r="AGP22" s="381"/>
      <c r="AGQ22" s="381"/>
      <c r="AGR22" s="381"/>
      <c r="AGS22" s="381"/>
      <c r="AGT22" s="381"/>
      <c r="AGU22" s="381"/>
      <c r="AGV22" s="381"/>
      <c r="AGW22" s="381"/>
      <c r="AGX22" s="381"/>
      <c r="AGY22" s="381"/>
      <c r="AGZ22" s="381"/>
      <c r="AHA22" s="381"/>
      <c r="AHB22" s="381"/>
      <c r="AHC22" s="381"/>
      <c r="AHD22" s="381"/>
      <c r="AHE22" s="381"/>
      <c r="AHF22" s="381"/>
      <c r="AHG22" s="381"/>
      <c r="AHH22" s="381"/>
      <c r="AHI22" s="381"/>
      <c r="AHJ22" s="381"/>
      <c r="AHK22" s="381"/>
      <c r="AHL22" s="381"/>
      <c r="AHM22" s="381"/>
      <c r="AHN22" s="381"/>
      <c r="AHO22" s="381"/>
      <c r="AHP22" s="381"/>
      <c r="AHQ22" s="381"/>
      <c r="AHR22" s="381"/>
      <c r="AHS22" s="381"/>
      <c r="AHT22" s="381"/>
      <c r="AHU22" s="381"/>
      <c r="AHV22" s="381"/>
      <c r="AHW22" s="381"/>
      <c r="AHX22" s="381"/>
      <c r="AHY22" s="381"/>
      <c r="AHZ22" s="381"/>
      <c r="AIA22" s="381"/>
      <c r="AIB22" s="381"/>
      <c r="AIC22" s="381"/>
      <c r="AID22" s="381"/>
      <c r="AIE22" s="381"/>
      <c r="AIF22" s="381"/>
      <c r="AIG22" s="381"/>
      <c r="AIH22" s="381"/>
      <c r="AII22" s="381"/>
      <c r="AIJ22" s="381"/>
      <c r="AIK22" s="381"/>
      <c r="AIL22" s="381"/>
      <c r="AIM22" s="381"/>
      <c r="AIN22" s="381"/>
      <c r="AIO22" s="381"/>
      <c r="AIP22" s="381"/>
      <c r="AIQ22" s="381"/>
      <c r="AIR22" s="381"/>
      <c r="AIS22" s="381"/>
      <c r="AIT22" s="381"/>
      <c r="AIU22" s="381"/>
      <c r="AIV22" s="381"/>
      <c r="AIW22" s="381"/>
      <c r="AIX22" s="381"/>
      <c r="AIY22" s="381"/>
      <c r="AIZ22" s="381"/>
      <c r="AJA22" s="381"/>
      <c r="AJB22" s="381"/>
      <c r="AJC22" s="381"/>
      <c r="AJD22" s="381"/>
      <c r="AJE22" s="381"/>
      <c r="AJF22" s="381"/>
      <c r="AJG22" s="381"/>
      <c r="AJH22" s="381"/>
      <c r="AJI22" s="381"/>
      <c r="AJJ22" s="381"/>
      <c r="AJK22" s="381"/>
      <c r="AJL22" s="381"/>
      <c r="AJM22" s="381"/>
      <c r="AJN22" s="381"/>
      <c r="AJO22" s="381"/>
      <c r="AJP22" s="381"/>
      <c r="AJQ22" s="381"/>
      <c r="AJR22" s="381"/>
      <c r="AJS22" s="381"/>
      <c r="AJT22" s="381"/>
      <c r="AJU22" s="381"/>
      <c r="AJV22" s="381"/>
      <c r="AJW22" s="381"/>
      <c r="AJX22" s="381"/>
      <c r="AJY22" s="381"/>
      <c r="AJZ22" s="381"/>
      <c r="AKA22" s="381"/>
      <c r="AKB22" s="381"/>
      <c r="AKC22" s="381"/>
      <c r="AKD22" s="381"/>
      <c r="AKE22" s="381"/>
      <c r="AKF22" s="381"/>
      <c r="AKG22" s="381"/>
      <c r="AKH22" s="381"/>
      <c r="AKI22" s="381"/>
      <c r="AKJ22" s="381"/>
      <c r="AKK22" s="381"/>
      <c r="AKL22" s="381"/>
      <c r="AKM22" s="381"/>
      <c r="AKN22" s="381"/>
      <c r="AKO22" s="381"/>
      <c r="AKP22" s="381"/>
      <c r="AKQ22" s="381"/>
      <c r="AKR22" s="381"/>
      <c r="AKS22" s="381"/>
      <c r="AKT22" s="381"/>
      <c r="AKU22" s="381"/>
      <c r="AKV22" s="381"/>
      <c r="AKW22" s="381"/>
      <c r="AKX22" s="381"/>
      <c r="AKY22" s="381"/>
      <c r="AKZ22" s="381"/>
      <c r="ALA22" s="381"/>
      <c r="ALB22" s="381"/>
      <c r="ALC22" s="381"/>
    </row>
    <row r="23" spans="1:991" s="400" customFormat="1" ht="93" customHeight="1" thickBot="1" x14ac:dyDescent="0.3">
      <c r="A23" s="381"/>
      <c r="B23" s="360"/>
      <c r="C23" s="361" t="e">
        <f>J23-#REF!</f>
        <v>#REF!</v>
      </c>
      <c r="D23" s="362" t="s">
        <v>465</v>
      </c>
      <c r="E23" s="382"/>
      <c r="F23" s="383"/>
      <c r="G23" s="384"/>
      <c r="H23" s="385" t="s">
        <v>112</v>
      </c>
      <c r="I23" s="386" t="s">
        <v>466</v>
      </c>
      <c r="J23" s="387">
        <v>100000</v>
      </c>
      <c r="K23" s="388">
        <v>0</v>
      </c>
      <c r="L23" s="389">
        <v>50000</v>
      </c>
      <c r="M23" s="390">
        <v>50000</v>
      </c>
      <c r="N23" s="390">
        <v>0</v>
      </c>
      <c r="O23" s="391">
        <v>0</v>
      </c>
      <c r="P23" s="389"/>
      <c r="Q23" s="390"/>
      <c r="R23" s="390"/>
      <c r="S23" s="392"/>
      <c r="T23" s="393"/>
      <c r="U23" s="389"/>
      <c r="V23" s="390"/>
      <c r="W23" s="390"/>
      <c r="X23" s="390"/>
      <c r="Y23" s="390"/>
      <c r="Z23" s="390">
        <v>100000</v>
      </c>
      <c r="AA23" s="390"/>
      <c r="AB23" s="392"/>
      <c r="AC23" s="392"/>
      <c r="AD23" s="392"/>
      <c r="AE23" s="392"/>
      <c r="AF23" s="390"/>
      <c r="AG23" s="392"/>
      <c r="AH23" s="394"/>
      <c r="AI23" s="393"/>
      <c r="AJ23" s="389"/>
      <c r="AK23" s="390"/>
      <c r="AL23" s="395"/>
      <c r="AM23" s="376">
        <v>0</v>
      </c>
      <c r="AN23" s="395"/>
      <c r="AO23" s="376">
        <v>0</v>
      </c>
      <c r="AP23" s="396"/>
      <c r="AQ23" s="390"/>
      <c r="AR23" s="390"/>
      <c r="AS23" s="390">
        <v>0</v>
      </c>
      <c r="AT23" s="392"/>
      <c r="AU23" s="392"/>
      <c r="AV23" s="390"/>
      <c r="AW23" s="392"/>
      <c r="AX23" s="393"/>
      <c r="AY23" s="389"/>
      <c r="AZ23" s="397"/>
      <c r="BA23" s="398"/>
      <c r="BB23" s="399"/>
      <c r="BC23" s="381"/>
      <c r="BD23" s="381"/>
      <c r="BE23" s="381"/>
      <c r="BF23" s="381"/>
      <c r="BG23" s="381"/>
      <c r="BH23" s="381"/>
      <c r="BI23" s="381"/>
      <c r="BJ23" s="381"/>
      <c r="BK23" s="381"/>
      <c r="BL23" s="381"/>
      <c r="BM23" s="381"/>
      <c r="BN23" s="381"/>
      <c r="BO23" s="381"/>
      <c r="BP23" s="381"/>
      <c r="BQ23" s="381"/>
      <c r="BR23" s="381"/>
      <c r="BS23" s="381"/>
      <c r="BT23" s="381"/>
      <c r="BU23" s="381"/>
      <c r="BV23" s="381"/>
      <c r="BW23" s="381"/>
      <c r="BX23" s="381"/>
      <c r="BY23" s="381"/>
      <c r="BZ23" s="381"/>
      <c r="CA23" s="381"/>
      <c r="CB23" s="381"/>
      <c r="CC23" s="381"/>
      <c r="CD23" s="381"/>
      <c r="CE23" s="381"/>
      <c r="CF23" s="381"/>
      <c r="CG23" s="381"/>
      <c r="CH23" s="381"/>
      <c r="CI23" s="381"/>
      <c r="CJ23" s="381"/>
      <c r="CK23" s="381"/>
      <c r="CL23" s="381"/>
      <c r="CM23" s="381"/>
      <c r="CN23" s="381"/>
      <c r="CO23" s="381"/>
      <c r="CP23" s="381"/>
      <c r="CQ23" s="381"/>
      <c r="CR23" s="381"/>
      <c r="CS23" s="381"/>
      <c r="CT23" s="381"/>
      <c r="CU23" s="381"/>
      <c r="CV23" s="381"/>
      <c r="CW23" s="381"/>
      <c r="CX23" s="381"/>
      <c r="CY23" s="381"/>
      <c r="CZ23" s="381"/>
      <c r="DA23" s="381"/>
      <c r="DB23" s="381"/>
      <c r="DC23" s="381"/>
      <c r="DD23" s="381"/>
      <c r="DE23" s="381"/>
      <c r="DF23" s="381"/>
      <c r="DG23" s="381"/>
      <c r="DH23" s="381"/>
      <c r="DI23" s="381"/>
      <c r="DJ23" s="381"/>
      <c r="DK23" s="381"/>
      <c r="DL23" s="381"/>
      <c r="DM23" s="381"/>
      <c r="DN23" s="381"/>
      <c r="DO23" s="381"/>
      <c r="DP23" s="381"/>
      <c r="DQ23" s="381"/>
      <c r="DR23" s="381"/>
      <c r="DS23" s="381"/>
      <c r="DT23" s="381"/>
      <c r="DU23" s="381"/>
      <c r="DV23" s="381"/>
      <c r="DW23" s="381"/>
      <c r="DX23" s="381"/>
      <c r="DY23" s="381"/>
      <c r="DZ23" s="381"/>
      <c r="EA23" s="381"/>
      <c r="EB23" s="381"/>
      <c r="EC23" s="381"/>
      <c r="ED23" s="381"/>
      <c r="EE23" s="381"/>
      <c r="EF23" s="381"/>
      <c r="EG23" s="381"/>
      <c r="EH23" s="381"/>
      <c r="EI23" s="381"/>
      <c r="EJ23" s="381"/>
      <c r="EK23" s="381"/>
      <c r="EL23" s="381"/>
      <c r="EM23" s="381"/>
      <c r="EN23" s="381"/>
      <c r="EO23" s="381"/>
      <c r="EP23" s="381"/>
      <c r="EQ23" s="381"/>
      <c r="ER23" s="381"/>
      <c r="ES23" s="381"/>
      <c r="ET23" s="381"/>
      <c r="EU23" s="381"/>
      <c r="EV23" s="381"/>
      <c r="EW23" s="381"/>
      <c r="EX23" s="381"/>
      <c r="EY23" s="381"/>
      <c r="EZ23" s="381"/>
      <c r="FA23" s="381"/>
      <c r="FB23" s="381"/>
      <c r="FC23" s="381"/>
      <c r="FD23" s="381"/>
      <c r="FE23" s="381"/>
      <c r="FF23" s="381"/>
      <c r="FG23" s="381"/>
      <c r="FH23" s="381"/>
      <c r="FI23" s="381"/>
      <c r="FJ23" s="381"/>
      <c r="FK23" s="381"/>
      <c r="FL23" s="381"/>
      <c r="FM23" s="381"/>
      <c r="FN23" s="381"/>
      <c r="FO23" s="381"/>
      <c r="FP23" s="381"/>
      <c r="FQ23" s="381"/>
      <c r="FR23" s="381"/>
      <c r="FS23" s="381"/>
      <c r="FT23" s="381"/>
      <c r="FU23" s="381"/>
      <c r="FV23" s="381"/>
      <c r="FW23" s="381"/>
      <c r="FX23" s="381"/>
      <c r="FY23" s="381"/>
      <c r="FZ23" s="381"/>
      <c r="GA23" s="381"/>
      <c r="GB23" s="381"/>
      <c r="GC23" s="381"/>
      <c r="GD23" s="381"/>
      <c r="GE23" s="381"/>
      <c r="GF23" s="381"/>
      <c r="GG23" s="381"/>
      <c r="GH23" s="381"/>
      <c r="GI23" s="381"/>
      <c r="GJ23" s="381"/>
      <c r="GK23" s="381"/>
      <c r="GL23" s="381"/>
      <c r="GM23" s="381"/>
      <c r="GN23" s="381"/>
      <c r="GO23" s="381"/>
      <c r="GP23" s="381"/>
      <c r="GQ23" s="381"/>
      <c r="GR23" s="381"/>
      <c r="GS23" s="381"/>
      <c r="GT23" s="381"/>
      <c r="GU23" s="381"/>
      <c r="GV23" s="381"/>
      <c r="GW23" s="381"/>
      <c r="GX23" s="381"/>
      <c r="GY23" s="381"/>
      <c r="GZ23" s="381"/>
      <c r="HA23" s="381"/>
      <c r="HB23" s="381"/>
      <c r="HC23" s="381"/>
      <c r="HD23" s="381"/>
      <c r="HE23" s="381"/>
      <c r="HF23" s="381"/>
      <c r="HG23" s="381"/>
      <c r="HH23" s="381"/>
      <c r="HI23" s="381"/>
      <c r="HJ23" s="381"/>
      <c r="HK23" s="381"/>
      <c r="HL23" s="381"/>
      <c r="HM23" s="381"/>
      <c r="HN23" s="381"/>
      <c r="HO23" s="381"/>
      <c r="HP23" s="381"/>
      <c r="HQ23" s="381"/>
      <c r="HR23" s="381"/>
      <c r="HS23" s="381"/>
      <c r="HT23" s="381"/>
      <c r="HU23" s="381"/>
      <c r="HV23" s="381"/>
      <c r="HW23" s="381"/>
      <c r="HX23" s="381"/>
      <c r="HY23" s="381"/>
      <c r="HZ23" s="381"/>
      <c r="IA23" s="381"/>
      <c r="IB23" s="381"/>
      <c r="IC23" s="381"/>
      <c r="ID23" s="381"/>
      <c r="IE23" s="381"/>
      <c r="IF23" s="381"/>
      <c r="IG23" s="381"/>
      <c r="IH23" s="381"/>
      <c r="II23" s="381"/>
      <c r="IJ23" s="381"/>
      <c r="IK23" s="381"/>
      <c r="IL23" s="381"/>
      <c r="IM23" s="381"/>
      <c r="IN23" s="381"/>
      <c r="IO23" s="381"/>
      <c r="IP23" s="381"/>
      <c r="IQ23" s="381"/>
      <c r="IR23" s="381"/>
      <c r="IS23" s="381"/>
      <c r="IT23" s="381"/>
      <c r="IU23" s="381"/>
      <c r="IV23" s="381"/>
      <c r="IW23" s="381"/>
      <c r="IX23" s="381"/>
      <c r="IY23" s="381"/>
      <c r="IZ23" s="381"/>
      <c r="JA23" s="381"/>
      <c r="JB23" s="381"/>
      <c r="JC23" s="381"/>
      <c r="JD23" s="381"/>
      <c r="JE23" s="381"/>
      <c r="JF23" s="381"/>
      <c r="JG23" s="381"/>
      <c r="JH23" s="381"/>
      <c r="JI23" s="381"/>
      <c r="JJ23" s="381"/>
      <c r="JK23" s="381"/>
      <c r="JL23" s="381"/>
      <c r="JM23" s="381"/>
      <c r="JN23" s="381"/>
      <c r="JO23" s="381"/>
      <c r="JP23" s="381"/>
      <c r="JQ23" s="381"/>
      <c r="JR23" s="381"/>
      <c r="JS23" s="381"/>
      <c r="JT23" s="381"/>
      <c r="JU23" s="381"/>
      <c r="JV23" s="381"/>
      <c r="JW23" s="381"/>
      <c r="JX23" s="381"/>
      <c r="JY23" s="381"/>
      <c r="JZ23" s="381"/>
      <c r="KA23" s="381"/>
      <c r="KB23" s="381"/>
      <c r="KC23" s="381"/>
      <c r="KD23" s="381"/>
      <c r="KE23" s="381"/>
      <c r="KF23" s="381"/>
      <c r="KG23" s="381"/>
      <c r="KH23" s="381"/>
      <c r="KI23" s="381"/>
      <c r="KJ23" s="381"/>
      <c r="KK23" s="381"/>
      <c r="KL23" s="381"/>
      <c r="KM23" s="381"/>
      <c r="KN23" s="381"/>
      <c r="KO23" s="381"/>
      <c r="KP23" s="381"/>
      <c r="KQ23" s="381"/>
      <c r="KR23" s="381"/>
      <c r="KS23" s="381"/>
      <c r="KT23" s="381"/>
      <c r="KU23" s="381"/>
      <c r="KV23" s="381"/>
      <c r="KW23" s="381"/>
      <c r="KX23" s="381"/>
      <c r="KY23" s="381"/>
      <c r="KZ23" s="381"/>
      <c r="LA23" s="381"/>
      <c r="LB23" s="381"/>
      <c r="LC23" s="381"/>
      <c r="LD23" s="381"/>
      <c r="LE23" s="381"/>
      <c r="LF23" s="381"/>
      <c r="LG23" s="381"/>
      <c r="LH23" s="381"/>
      <c r="LI23" s="381"/>
      <c r="LJ23" s="381"/>
      <c r="LK23" s="381"/>
      <c r="LL23" s="381"/>
      <c r="LM23" s="381"/>
      <c r="LN23" s="381"/>
      <c r="LO23" s="381"/>
      <c r="LP23" s="381"/>
      <c r="LQ23" s="381"/>
      <c r="LR23" s="381"/>
      <c r="LS23" s="381"/>
      <c r="LT23" s="381"/>
      <c r="LU23" s="381"/>
      <c r="LV23" s="381"/>
      <c r="LW23" s="381"/>
      <c r="LX23" s="381"/>
      <c r="LY23" s="381"/>
      <c r="LZ23" s="381"/>
      <c r="MA23" s="381"/>
      <c r="MB23" s="381"/>
      <c r="MC23" s="381"/>
      <c r="MD23" s="381"/>
      <c r="ME23" s="381"/>
      <c r="MF23" s="381"/>
      <c r="MG23" s="381"/>
      <c r="MH23" s="381"/>
      <c r="MI23" s="381"/>
      <c r="MJ23" s="381"/>
      <c r="MK23" s="381"/>
      <c r="ML23" s="381"/>
      <c r="MM23" s="381"/>
      <c r="MN23" s="381"/>
      <c r="MO23" s="381"/>
      <c r="MP23" s="381"/>
      <c r="MQ23" s="381"/>
      <c r="MR23" s="381"/>
      <c r="MS23" s="381"/>
      <c r="MT23" s="381"/>
      <c r="MU23" s="381"/>
      <c r="MV23" s="381"/>
      <c r="MW23" s="381"/>
      <c r="MX23" s="381"/>
      <c r="MY23" s="381"/>
      <c r="MZ23" s="381"/>
      <c r="NA23" s="381"/>
      <c r="NB23" s="381"/>
      <c r="NC23" s="381"/>
      <c r="ND23" s="381"/>
      <c r="NE23" s="381"/>
      <c r="NF23" s="381"/>
      <c r="NG23" s="381"/>
      <c r="NH23" s="381"/>
      <c r="NI23" s="381"/>
      <c r="NJ23" s="381"/>
      <c r="NK23" s="381"/>
      <c r="NL23" s="381"/>
      <c r="NM23" s="381"/>
      <c r="NN23" s="381"/>
      <c r="NO23" s="381"/>
      <c r="NP23" s="381"/>
      <c r="NQ23" s="381"/>
      <c r="NR23" s="381"/>
      <c r="NS23" s="381"/>
      <c r="NT23" s="381"/>
      <c r="NU23" s="381"/>
      <c r="NV23" s="381"/>
      <c r="NW23" s="381"/>
      <c r="NX23" s="381"/>
      <c r="NY23" s="381"/>
      <c r="NZ23" s="381"/>
      <c r="OA23" s="381"/>
      <c r="OB23" s="381"/>
      <c r="OC23" s="381"/>
      <c r="OD23" s="381"/>
      <c r="OE23" s="381"/>
      <c r="OF23" s="381"/>
      <c r="OG23" s="381"/>
      <c r="OH23" s="381"/>
      <c r="OI23" s="381"/>
      <c r="OJ23" s="381"/>
      <c r="OK23" s="381"/>
      <c r="OL23" s="381"/>
      <c r="OM23" s="381"/>
      <c r="ON23" s="381"/>
      <c r="OO23" s="381"/>
      <c r="OP23" s="381"/>
      <c r="OQ23" s="381"/>
      <c r="OR23" s="381"/>
      <c r="OS23" s="381"/>
      <c r="OT23" s="381"/>
      <c r="OU23" s="381"/>
      <c r="OV23" s="381"/>
      <c r="OW23" s="381"/>
      <c r="OX23" s="381"/>
      <c r="OY23" s="381"/>
      <c r="OZ23" s="381"/>
      <c r="PA23" s="381"/>
      <c r="PB23" s="381"/>
      <c r="PC23" s="381"/>
      <c r="PD23" s="381"/>
      <c r="PE23" s="381"/>
      <c r="PF23" s="381"/>
      <c r="PG23" s="381"/>
      <c r="PH23" s="381"/>
      <c r="PI23" s="381"/>
      <c r="PJ23" s="381"/>
      <c r="PK23" s="381"/>
      <c r="PL23" s="381"/>
      <c r="PM23" s="381"/>
      <c r="PN23" s="381"/>
      <c r="PO23" s="381"/>
      <c r="PP23" s="381"/>
      <c r="PQ23" s="381"/>
      <c r="PR23" s="381"/>
      <c r="PS23" s="381"/>
      <c r="PT23" s="381"/>
      <c r="PU23" s="381"/>
      <c r="PV23" s="381"/>
      <c r="PW23" s="381"/>
      <c r="PX23" s="381"/>
      <c r="PY23" s="381"/>
      <c r="PZ23" s="381"/>
      <c r="QA23" s="381"/>
      <c r="QB23" s="381"/>
      <c r="QC23" s="381"/>
      <c r="QD23" s="381"/>
      <c r="QE23" s="381"/>
      <c r="QF23" s="381"/>
      <c r="QG23" s="381"/>
      <c r="QH23" s="381"/>
      <c r="QI23" s="381"/>
      <c r="QJ23" s="381"/>
      <c r="QK23" s="381"/>
      <c r="QL23" s="381"/>
      <c r="QM23" s="381"/>
      <c r="QN23" s="381"/>
      <c r="QO23" s="381"/>
      <c r="QP23" s="381"/>
      <c r="QQ23" s="381"/>
      <c r="QR23" s="381"/>
      <c r="QS23" s="381"/>
      <c r="QT23" s="381"/>
      <c r="QU23" s="381"/>
      <c r="QV23" s="381"/>
      <c r="QW23" s="381"/>
      <c r="QX23" s="381"/>
      <c r="QY23" s="381"/>
      <c r="QZ23" s="381"/>
      <c r="RA23" s="381"/>
      <c r="RB23" s="381"/>
      <c r="RC23" s="381"/>
      <c r="RD23" s="381"/>
      <c r="RE23" s="381"/>
      <c r="RF23" s="381"/>
      <c r="RG23" s="381"/>
      <c r="RH23" s="381"/>
      <c r="RI23" s="381"/>
      <c r="RJ23" s="381"/>
      <c r="RK23" s="381"/>
      <c r="RL23" s="381"/>
      <c r="RM23" s="381"/>
      <c r="RN23" s="381"/>
      <c r="RO23" s="381"/>
      <c r="RP23" s="381"/>
      <c r="RQ23" s="381"/>
      <c r="RR23" s="381"/>
      <c r="RS23" s="381"/>
      <c r="RT23" s="381"/>
      <c r="RU23" s="381"/>
      <c r="RV23" s="381"/>
      <c r="RW23" s="381"/>
      <c r="RX23" s="381"/>
      <c r="RY23" s="381"/>
      <c r="RZ23" s="381"/>
      <c r="SA23" s="381"/>
      <c r="SB23" s="381"/>
      <c r="SC23" s="381"/>
      <c r="SD23" s="381"/>
      <c r="SE23" s="381"/>
      <c r="SF23" s="381"/>
      <c r="SG23" s="381"/>
      <c r="SH23" s="381"/>
      <c r="SI23" s="381"/>
      <c r="SJ23" s="381"/>
      <c r="SK23" s="381"/>
      <c r="SL23" s="381"/>
      <c r="SM23" s="381"/>
      <c r="SN23" s="381"/>
      <c r="SO23" s="381"/>
      <c r="SP23" s="381"/>
      <c r="SQ23" s="381"/>
      <c r="SR23" s="381"/>
      <c r="SS23" s="381"/>
      <c r="ST23" s="381"/>
      <c r="SU23" s="381"/>
      <c r="SV23" s="381"/>
      <c r="SW23" s="381"/>
      <c r="SX23" s="381"/>
      <c r="SY23" s="381"/>
      <c r="SZ23" s="381"/>
      <c r="TA23" s="381"/>
      <c r="TB23" s="381"/>
      <c r="TC23" s="381"/>
      <c r="TD23" s="381"/>
      <c r="TE23" s="381"/>
      <c r="TF23" s="381"/>
      <c r="TG23" s="381"/>
      <c r="TH23" s="381"/>
      <c r="TI23" s="381"/>
      <c r="TJ23" s="381"/>
      <c r="TK23" s="381"/>
      <c r="TL23" s="381"/>
      <c r="TM23" s="381"/>
      <c r="TN23" s="381"/>
      <c r="TO23" s="381"/>
      <c r="TP23" s="381"/>
      <c r="TQ23" s="381"/>
      <c r="TR23" s="381"/>
      <c r="TS23" s="381"/>
      <c r="TT23" s="381"/>
      <c r="TU23" s="381"/>
      <c r="TV23" s="381"/>
      <c r="TW23" s="381"/>
      <c r="TX23" s="381"/>
      <c r="TY23" s="381"/>
      <c r="TZ23" s="381"/>
      <c r="UA23" s="381"/>
      <c r="UB23" s="381"/>
      <c r="UC23" s="381"/>
      <c r="UD23" s="381"/>
      <c r="UE23" s="381"/>
      <c r="UF23" s="381"/>
      <c r="UG23" s="381"/>
      <c r="UH23" s="381"/>
      <c r="UI23" s="381"/>
      <c r="UJ23" s="381"/>
      <c r="UK23" s="381"/>
      <c r="UL23" s="381"/>
      <c r="UM23" s="381"/>
      <c r="UN23" s="381"/>
      <c r="UO23" s="381"/>
      <c r="UP23" s="381"/>
      <c r="UQ23" s="381"/>
      <c r="UR23" s="381"/>
      <c r="US23" s="381"/>
      <c r="UT23" s="381"/>
      <c r="UU23" s="381"/>
      <c r="UV23" s="381"/>
      <c r="UW23" s="381"/>
      <c r="UX23" s="381"/>
      <c r="UY23" s="381"/>
      <c r="UZ23" s="381"/>
      <c r="VA23" s="381"/>
      <c r="VB23" s="381"/>
      <c r="VC23" s="381"/>
      <c r="VD23" s="381"/>
      <c r="VE23" s="381"/>
      <c r="VF23" s="381"/>
      <c r="VG23" s="381"/>
      <c r="VH23" s="381"/>
      <c r="VI23" s="381"/>
      <c r="VJ23" s="381"/>
      <c r="VK23" s="381"/>
      <c r="VL23" s="381"/>
      <c r="VM23" s="381"/>
      <c r="VN23" s="381"/>
      <c r="VO23" s="381"/>
      <c r="VP23" s="381"/>
      <c r="VQ23" s="381"/>
      <c r="VR23" s="381"/>
      <c r="VS23" s="381"/>
      <c r="VT23" s="381"/>
      <c r="VU23" s="381"/>
      <c r="VV23" s="381"/>
      <c r="VW23" s="381"/>
      <c r="VX23" s="381"/>
      <c r="VY23" s="381"/>
      <c r="VZ23" s="381"/>
      <c r="WA23" s="381"/>
      <c r="WB23" s="381"/>
      <c r="WC23" s="381"/>
      <c r="WD23" s="381"/>
      <c r="WE23" s="381"/>
      <c r="WF23" s="381"/>
      <c r="WG23" s="381"/>
      <c r="WH23" s="381"/>
      <c r="WI23" s="381"/>
      <c r="WJ23" s="381"/>
      <c r="WK23" s="381"/>
      <c r="WL23" s="381"/>
      <c r="WM23" s="381"/>
      <c r="WN23" s="381"/>
      <c r="WO23" s="381"/>
      <c r="WP23" s="381"/>
      <c r="WQ23" s="381"/>
      <c r="WR23" s="381"/>
      <c r="WS23" s="381"/>
      <c r="WT23" s="381"/>
      <c r="WU23" s="381"/>
      <c r="WV23" s="381"/>
      <c r="WW23" s="381"/>
      <c r="WX23" s="381"/>
      <c r="WY23" s="381"/>
      <c r="WZ23" s="381"/>
      <c r="XA23" s="381"/>
      <c r="XB23" s="381"/>
      <c r="XC23" s="381"/>
      <c r="XD23" s="381"/>
      <c r="XE23" s="381"/>
      <c r="XF23" s="381"/>
      <c r="XG23" s="381"/>
      <c r="XH23" s="381"/>
      <c r="XI23" s="381"/>
      <c r="XJ23" s="381"/>
      <c r="XK23" s="381"/>
      <c r="XL23" s="381"/>
      <c r="XM23" s="381"/>
      <c r="XN23" s="381"/>
      <c r="XO23" s="381"/>
      <c r="XP23" s="381"/>
      <c r="XQ23" s="381"/>
      <c r="XR23" s="381"/>
      <c r="XS23" s="381"/>
      <c r="XT23" s="381"/>
      <c r="XU23" s="381"/>
      <c r="XV23" s="381"/>
      <c r="XW23" s="381"/>
      <c r="XX23" s="381"/>
      <c r="XY23" s="381"/>
      <c r="XZ23" s="381"/>
      <c r="YA23" s="381"/>
      <c r="YB23" s="381"/>
      <c r="YC23" s="381"/>
      <c r="YD23" s="381"/>
      <c r="YE23" s="381"/>
      <c r="YF23" s="381"/>
      <c r="YG23" s="381"/>
      <c r="YH23" s="381"/>
      <c r="YI23" s="381"/>
      <c r="YJ23" s="381"/>
      <c r="YK23" s="381"/>
      <c r="YL23" s="381"/>
      <c r="YM23" s="381"/>
      <c r="YN23" s="381"/>
      <c r="YO23" s="381"/>
      <c r="YP23" s="381"/>
      <c r="YQ23" s="381"/>
      <c r="YR23" s="381"/>
      <c r="YS23" s="381"/>
      <c r="YT23" s="381"/>
      <c r="YU23" s="381"/>
      <c r="YV23" s="381"/>
      <c r="YW23" s="381"/>
      <c r="YX23" s="381"/>
      <c r="YY23" s="381"/>
      <c r="YZ23" s="381"/>
      <c r="ZA23" s="381"/>
      <c r="ZB23" s="381"/>
      <c r="ZC23" s="381"/>
      <c r="ZD23" s="381"/>
      <c r="ZE23" s="381"/>
      <c r="ZF23" s="381"/>
      <c r="ZG23" s="381"/>
      <c r="ZH23" s="381"/>
      <c r="ZI23" s="381"/>
      <c r="ZJ23" s="381"/>
      <c r="ZK23" s="381"/>
      <c r="ZL23" s="381"/>
      <c r="ZM23" s="381"/>
      <c r="ZN23" s="381"/>
      <c r="ZO23" s="381"/>
      <c r="ZP23" s="381"/>
      <c r="ZQ23" s="381"/>
      <c r="ZR23" s="381"/>
      <c r="ZS23" s="381"/>
      <c r="ZT23" s="381"/>
      <c r="ZU23" s="381"/>
      <c r="ZV23" s="381"/>
      <c r="ZW23" s="381"/>
      <c r="ZX23" s="381"/>
      <c r="ZY23" s="381"/>
      <c r="ZZ23" s="381"/>
      <c r="AAA23" s="381"/>
      <c r="AAB23" s="381"/>
      <c r="AAC23" s="381"/>
      <c r="AAD23" s="381"/>
      <c r="AAE23" s="381"/>
      <c r="AAF23" s="381"/>
      <c r="AAG23" s="381"/>
      <c r="AAH23" s="381"/>
      <c r="AAI23" s="381"/>
      <c r="AAJ23" s="381"/>
      <c r="AAK23" s="381"/>
      <c r="AAL23" s="381"/>
      <c r="AAM23" s="381"/>
      <c r="AAN23" s="381"/>
      <c r="AAO23" s="381"/>
      <c r="AAP23" s="381"/>
      <c r="AAQ23" s="381"/>
      <c r="AAR23" s="381"/>
      <c r="AAS23" s="381"/>
      <c r="AAT23" s="381"/>
      <c r="AAU23" s="381"/>
      <c r="AAV23" s="381"/>
      <c r="AAW23" s="381"/>
      <c r="AAX23" s="381"/>
      <c r="AAY23" s="381"/>
      <c r="AAZ23" s="381"/>
      <c r="ABA23" s="381"/>
      <c r="ABB23" s="381"/>
      <c r="ABC23" s="381"/>
      <c r="ABD23" s="381"/>
      <c r="ABE23" s="381"/>
      <c r="ABF23" s="381"/>
      <c r="ABG23" s="381"/>
      <c r="ABH23" s="381"/>
      <c r="ABI23" s="381"/>
      <c r="ABJ23" s="381"/>
      <c r="ABK23" s="381"/>
      <c r="ABL23" s="381"/>
      <c r="ABM23" s="381"/>
      <c r="ABN23" s="381"/>
      <c r="ABO23" s="381"/>
      <c r="ABP23" s="381"/>
      <c r="ABQ23" s="381"/>
      <c r="ABR23" s="381"/>
      <c r="ABS23" s="381"/>
      <c r="ABT23" s="381"/>
      <c r="ABU23" s="381"/>
      <c r="ABV23" s="381"/>
      <c r="ABW23" s="381"/>
      <c r="ABX23" s="381"/>
      <c r="ABY23" s="381"/>
      <c r="ABZ23" s="381"/>
      <c r="ACA23" s="381"/>
      <c r="ACB23" s="381"/>
      <c r="ACC23" s="381"/>
      <c r="ACD23" s="381"/>
      <c r="ACE23" s="381"/>
      <c r="ACF23" s="381"/>
      <c r="ACG23" s="381"/>
      <c r="ACH23" s="381"/>
      <c r="ACI23" s="381"/>
      <c r="ACJ23" s="381"/>
      <c r="ACK23" s="381"/>
      <c r="ACL23" s="381"/>
      <c r="ACM23" s="381"/>
      <c r="ACN23" s="381"/>
      <c r="ACO23" s="381"/>
      <c r="ACP23" s="381"/>
      <c r="ACQ23" s="381"/>
      <c r="ACR23" s="381"/>
      <c r="ACS23" s="381"/>
      <c r="ACT23" s="381"/>
      <c r="ACU23" s="381"/>
      <c r="ACV23" s="381"/>
      <c r="ACW23" s="381"/>
      <c r="ACX23" s="381"/>
      <c r="ACY23" s="381"/>
      <c r="ACZ23" s="381"/>
      <c r="ADA23" s="381"/>
      <c r="ADB23" s="381"/>
      <c r="ADC23" s="381"/>
      <c r="ADD23" s="381"/>
      <c r="ADE23" s="381"/>
      <c r="ADF23" s="381"/>
      <c r="ADG23" s="381"/>
      <c r="ADH23" s="381"/>
      <c r="ADI23" s="381"/>
      <c r="ADJ23" s="381"/>
      <c r="ADK23" s="381"/>
      <c r="ADL23" s="381"/>
      <c r="ADM23" s="381"/>
      <c r="ADN23" s="381"/>
      <c r="ADO23" s="381"/>
      <c r="ADP23" s="381"/>
      <c r="ADQ23" s="381"/>
      <c r="ADR23" s="381"/>
      <c r="ADS23" s="381"/>
      <c r="ADT23" s="381"/>
      <c r="ADU23" s="381"/>
      <c r="ADV23" s="381"/>
      <c r="ADW23" s="381"/>
      <c r="ADX23" s="381"/>
      <c r="ADY23" s="381"/>
      <c r="ADZ23" s="381"/>
      <c r="AEA23" s="381"/>
      <c r="AEB23" s="381"/>
      <c r="AEC23" s="381"/>
      <c r="AED23" s="381"/>
      <c r="AEE23" s="381"/>
      <c r="AEF23" s="381"/>
      <c r="AEG23" s="381"/>
      <c r="AEH23" s="381"/>
      <c r="AEI23" s="381"/>
      <c r="AEJ23" s="381"/>
      <c r="AEK23" s="381"/>
      <c r="AEL23" s="381"/>
      <c r="AEM23" s="381"/>
      <c r="AEN23" s="381"/>
      <c r="AEO23" s="381"/>
      <c r="AEP23" s="381"/>
      <c r="AEQ23" s="381"/>
      <c r="AER23" s="381"/>
      <c r="AES23" s="381"/>
      <c r="AET23" s="381"/>
      <c r="AEU23" s="381"/>
      <c r="AEV23" s="381"/>
      <c r="AEW23" s="381"/>
      <c r="AEX23" s="381"/>
      <c r="AEY23" s="381"/>
      <c r="AEZ23" s="381"/>
      <c r="AFA23" s="381"/>
      <c r="AFB23" s="381"/>
      <c r="AFC23" s="381"/>
      <c r="AFD23" s="381"/>
      <c r="AFE23" s="381"/>
      <c r="AFF23" s="381"/>
      <c r="AFG23" s="381"/>
      <c r="AFH23" s="381"/>
      <c r="AFI23" s="381"/>
      <c r="AFJ23" s="381"/>
      <c r="AFK23" s="381"/>
      <c r="AFL23" s="381"/>
      <c r="AFM23" s="381"/>
      <c r="AFN23" s="381"/>
      <c r="AFO23" s="381"/>
      <c r="AFP23" s="381"/>
      <c r="AFQ23" s="381"/>
      <c r="AFR23" s="381"/>
      <c r="AFS23" s="381"/>
      <c r="AFT23" s="381"/>
      <c r="AFU23" s="381"/>
      <c r="AFV23" s="381"/>
      <c r="AFW23" s="381"/>
      <c r="AFX23" s="381"/>
      <c r="AFY23" s="381"/>
      <c r="AFZ23" s="381"/>
      <c r="AGA23" s="381"/>
      <c r="AGB23" s="381"/>
      <c r="AGC23" s="381"/>
      <c r="AGD23" s="381"/>
      <c r="AGE23" s="381"/>
      <c r="AGF23" s="381"/>
      <c r="AGG23" s="381"/>
      <c r="AGH23" s="381"/>
      <c r="AGI23" s="381"/>
      <c r="AGJ23" s="381"/>
      <c r="AGK23" s="381"/>
      <c r="AGL23" s="381"/>
      <c r="AGM23" s="381"/>
      <c r="AGN23" s="381"/>
      <c r="AGO23" s="381"/>
      <c r="AGP23" s="381"/>
      <c r="AGQ23" s="381"/>
      <c r="AGR23" s="381"/>
      <c r="AGS23" s="381"/>
      <c r="AGT23" s="381"/>
      <c r="AGU23" s="381"/>
      <c r="AGV23" s="381"/>
      <c r="AGW23" s="381"/>
      <c r="AGX23" s="381"/>
      <c r="AGY23" s="381"/>
      <c r="AGZ23" s="381"/>
      <c r="AHA23" s="381"/>
      <c r="AHB23" s="381"/>
      <c r="AHC23" s="381"/>
      <c r="AHD23" s="381"/>
      <c r="AHE23" s="381"/>
      <c r="AHF23" s="381"/>
      <c r="AHG23" s="381"/>
      <c r="AHH23" s="381"/>
      <c r="AHI23" s="381"/>
      <c r="AHJ23" s="381"/>
      <c r="AHK23" s="381"/>
      <c r="AHL23" s="381"/>
      <c r="AHM23" s="381"/>
      <c r="AHN23" s="381"/>
      <c r="AHO23" s="381"/>
      <c r="AHP23" s="381"/>
      <c r="AHQ23" s="381"/>
      <c r="AHR23" s="381"/>
      <c r="AHS23" s="381"/>
      <c r="AHT23" s="381"/>
      <c r="AHU23" s="381"/>
      <c r="AHV23" s="381"/>
      <c r="AHW23" s="381"/>
      <c r="AHX23" s="381"/>
      <c r="AHY23" s="381"/>
      <c r="AHZ23" s="381"/>
      <c r="AIA23" s="381"/>
      <c r="AIB23" s="381"/>
      <c r="AIC23" s="381"/>
      <c r="AID23" s="381"/>
      <c r="AIE23" s="381"/>
      <c r="AIF23" s="381"/>
      <c r="AIG23" s="381"/>
      <c r="AIH23" s="381"/>
      <c r="AII23" s="381"/>
      <c r="AIJ23" s="381"/>
      <c r="AIK23" s="381"/>
      <c r="AIL23" s="381"/>
      <c r="AIM23" s="381"/>
      <c r="AIN23" s="381"/>
      <c r="AIO23" s="381"/>
      <c r="AIP23" s="381"/>
      <c r="AIQ23" s="381"/>
      <c r="AIR23" s="381"/>
      <c r="AIS23" s="381"/>
      <c r="AIT23" s="381"/>
      <c r="AIU23" s="381"/>
      <c r="AIV23" s="381"/>
      <c r="AIW23" s="381"/>
      <c r="AIX23" s="381"/>
      <c r="AIY23" s="381"/>
      <c r="AIZ23" s="381"/>
      <c r="AJA23" s="381"/>
      <c r="AJB23" s="381"/>
      <c r="AJC23" s="381"/>
      <c r="AJD23" s="381"/>
      <c r="AJE23" s="381"/>
      <c r="AJF23" s="381"/>
      <c r="AJG23" s="381"/>
      <c r="AJH23" s="381"/>
      <c r="AJI23" s="381"/>
      <c r="AJJ23" s="381"/>
      <c r="AJK23" s="381"/>
      <c r="AJL23" s="381"/>
      <c r="AJM23" s="381"/>
      <c r="AJN23" s="381"/>
      <c r="AJO23" s="381"/>
      <c r="AJP23" s="381"/>
      <c r="AJQ23" s="381"/>
      <c r="AJR23" s="381"/>
      <c r="AJS23" s="381"/>
      <c r="AJT23" s="381"/>
      <c r="AJU23" s="381"/>
      <c r="AJV23" s="381"/>
      <c r="AJW23" s="381"/>
      <c r="AJX23" s="381"/>
      <c r="AJY23" s="381"/>
      <c r="AJZ23" s="381"/>
      <c r="AKA23" s="381"/>
      <c r="AKB23" s="381"/>
      <c r="AKC23" s="381"/>
      <c r="AKD23" s="381"/>
      <c r="AKE23" s="381"/>
      <c r="AKF23" s="381"/>
      <c r="AKG23" s="381"/>
      <c r="AKH23" s="381"/>
      <c r="AKI23" s="381"/>
      <c r="AKJ23" s="381"/>
      <c r="AKK23" s="381"/>
      <c r="AKL23" s="381"/>
      <c r="AKM23" s="381"/>
      <c r="AKN23" s="381"/>
      <c r="AKO23" s="381"/>
      <c r="AKP23" s="381"/>
      <c r="AKQ23" s="381"/>
      <c r="AKR23" s="381"/>
      <c r="AKS23" s="381"/>
      <c r="AKT23" s="381"/>
      <c r="AKU23" s="381"/>
      <c r="AKV23" s="381"/>
      <c r="AKW23" s="381"/>
      <c r="AKX23" s="381"/>
      <c r="AKY23" s="381"/>
      <c r="AKZ23" s="381"/>
      <c r="ALA23" s="381"/>
      <c r="ALB23" s="381"/>
      <c r="ALC23" s="381"/>
    </row>
    <row r="24" spans="1:991" s="400" customFormat="1" ht="137.25" customHeight="1" thickBot="1" x14ac:dyDescent="0.3">
      <c r="A24" s="381"/>
      <c r="B24" s="360"/>
      <c r="C24" s="361" t="e">
        <f>J24-#REF!</f>
        <v>#REF!</v>
      </c>
      <c r="D24" s="362" t="s">
        <v>467</v>
      </c>
      <c r="E24" s="382"/>
      <c r="F24" s="383"/>
      <c r="G24" s="384"/>
      <c r="H24" s="385" t="s">
        <v>112</v>
      </c>
      <c r="I24" s="386" t="s">
        <v>468</v>
      </c>
      <c r="J24" s="387">
        <v>150000</v>
      </c>
      <c r="K24" s="388">
        <v>0</v>
      </c>
      <c r="L24" s="389">
        <v>60000</v>
      </c>
      <c r="M24" s="390">
        <v>50000</v>
      </c>
      <c r="N24" s="390">
        <v>40000</v>
      </c>
      <c r="O24" s="391">
        <v>0</v>
      </c>
      <c r="P24" s="389"/>
      <c r="Q24" s="390"/>
      <c r="R24" s="390"/>
      <c r="S24" s="392"/>
      <c r="T24" s="393"/>
      <c r="U24" s="389"/>
      <c r="V24" s="390"/>
      <c r="W24" s="390"/>
      <c r="X24" s="390"/>
      <c r="Y24" s="390"/>
      <c r="Z24" s="390"/>
      <c r="AA24" s="390"/>
      <c r="AB24" s="392"/>
      <c r="AC24" s="392"/>
      <c r="AD24" s="392"/>
      <c r="AE24" s="392"/>
      <c r="AF24" s="390"/>
      <c r="AG24" s="392"/>
      <c r="AH24" s="394"/>
      <c r="AI24" s="393"/>
      <c r="AJ24" s="389"/>
      <c r="AK24" s="390"/>
      <c r="AL24" s="395"/>
      <c r="AM24" s="376">
        <v>0</v>
      </c>
      <c r="AN24" s="395">
        <v>60000</v>
      </c>
      <c r="AO24" s="376">
        <v>90000</v>
      </c>
      <c r="AP24" s="396"/>
      <c r="AQ24" s="390">
        <v>150000</v>
      </c>
      <c r="AR24" s="390"/>
      <c r="AS24" s="390">
        <v>0</v>
      </c>
      <c r="AT24" s="392"/>
      <c r="AU24" s="392"/>
      <c r="AV24" s="390"/>
      <c r="AW24" s="392"/>
      <c r="AX24" s="393"/>
      <c r="AY24" s="389"/>
      <c r="AZ24" s="397"/>
      <c r="BA24" s="398"/>
      <c r="BB24" s="399"/>
      <c r="BC24" s="381"/>
      <c r="BD24" s="381"/>
      <c r="BE24" s="381"/>
      <c r="BF24" s="381"/>
      <c r="BG24" s="381"/>
      <c r="BH24" s="381"/>
      <c r="BI24" s="381"/>
      <c r="BJ24" s="381"/>
      <c r="BK24" s="381"/>
      <c r="BL24" s="381"/>
      <c r="BM24" s="381"/>
      <c r="BN24" s="381"/>
      <c r="BO24" s="381"/>
      <c r="BP24" s="381"/>
      <c r="BQ24" s="381"/>
      <c r="BR24" s="381"/>
      <c r="BS24" s="381"/>
      <c r="BT24" s="381"/>
      <c r="BU24" s="381"/>
      <c r="BV24" s="381"/>
      <c r="BW24" s="381"/>
      <c r="BX24" s="381"/>
      <c r="BY24" s="381"/>
      <c r="BZ24" s="381"/>
      <c r="CA24" s="381"/>
      <c r="CB24" s="381"/>
      <c r="CC24" s="381"/>
      <c r="CD24" s="381"/>
      <c r="CE24" s="381"/>
      <c r="CF24" s="381"/>
      <c r="CG24" s="381"/>
      <c r="CH24" s="381"/>
      <c r="CI24" s="381"/>
      <c r="CJ24" s="381"/>
      <c r="CK24" s="381"/>
      <c r="CL24" s="381"/>
      <c r="CM24" s="381"/>
      <c r="CN24" s="381"/>
      <c r="CO24" s="381"/>
      <c r="CP24" s="381"/>
      <c r="CQ24" s="381"/>
      <c r="CR24" s="381"/>
      <c r="CS24" s="381"/>
      <c r="CT24" s="381"/>
      <c r="CU24" s="381"/>
      <c r="CV24" s="381"/>
      <c r="CW24" s="381"/>
      <c r="CX24" s="381"/>
      <c r="CY24" s="381"/>
      <c r="CZ24" s="381"/>
      <c r="DA24" s="381"/>
      <c r="DB24" s="381"/>
      <c r="DC24" s="381"/>
      <c r="DD24" s="381"/>
      <c r="DE24" s="381"/>
      <c r="DF24" s="381"/>
      <c r="DG24" s="381"/>
      <c r="DH24" s="381"/>
      <c r="DI24" s="381"/>
      <c r="DJ24" s="381"/>
      <c r="DK24" s="381"/>
      <c r="DL24" s="381"/>
      <c r="DM24" s="381"/>
      <c r="DN24" s="381"/>
      <c r="DO24" s="381"/>
      <c r="DP24" s="381"/>
      <c r="DQ24" s="381"/>
      <c r="DR24" s="381"/>
      <c r="DS24" s="381"/>
      <c r="DT24" s="381"/>
      <c r="DU24" s="381"/>
      <c r="DV24" s="381"/>
      <c r="DW24" s="381"/>
      <c r="DX24" s="381"/>
      <c r="DY24" s="381"/>
      <c r="DZ24" s="381"/>
      <c r="EA24" s="381"/>
      <c r="EB24" s="381"/>
      <c r="EC24" s="381"/>
      <c r="ED24" s="381"/>
      <c r="EE24" s="381"/>
      <c r="EF24" s="381"/>
      <c r="EG24" s="381"/>
      <c r="EH24" s="381"/>
      <c r="EI24" s="381"/>
      <c r="EJ24" s="381"/>
      <c r="EK24" s="381"/>
      <c r="EL24" s="381"/>
      <c r="EM24" s="381"/>
      <c r="EN24" s="381"/>
      <c r="EO24" s="381"/>
      <c r="EP24" s="381"/>
      <c r="EQ24" s="381"/>
      <c r="ER24" s="381"/>
      <c r="ES24" s="381"/>
      <c r="ET24" s="381"/>
      <c r="EU24" s="381"/>
      <c r="EV24" s="381"/>
      <c r="EW24" s="381"/>
      <c r="EX24" s="381"/>
      <c r="EY24" s="381"/>
      <c r="EZ24" s="381"/>
      <c r="FA24" s="381"/>
      <c r="FB24" s="381"/>
      <c r="FC24" s="381"/>
      <c r="FD24" s="381"/>
      <c r="FE24" s="381"/>
      <c r="FF24" s="381"/>
      <c r="FG24" s="381"/>
      <c r="FH24" s="381"/>
      <c r="FI24" s="381"/>
      <c r="FJ24" s="381"/>
      <c r="FK24" s="381"/>
      <c r="FL24" s="381"/>
      <c r="FM24" s="381"/>
      <c r="FN24" s="381"/>
      <c r="FO24" s="381"/>
      <c r="FP24" s="381"/>
      <c r="FQ24" s="381"/>
      <c r="FR24" s="381"/>
      <c r="FS24" s="381"/>
      <c r="FT24" s="381"/>
      <c r="FU24" s="381"/>
      <c r="FV24" s="381"/>
      <c r="FW24" s="381"/>
      <c r="FX24" s="381"/>
      <c r="FY24" s="381"/>
      <c r="FZ24" s="381"/>
      <c r="GA24" s="381"/>
      <c r="GB24" s="381"/>
      <c r="GC24" s="381"/>
      <c r="GD24" s="381"/>
      <c r="GE24" s="381"/>
      <c r="GF24" s="381"/>
      <c r="GG24" s="381"/>
      <c r="GH24" s="381"/>
      <c r="GI24" s="381"/>
      <c r="GJ24" s="381"/>
      <c r="GK24" s="381"/>
      <c r="GL24" s="381"/>
      <c r="GM24" s="381"/>
      <c r="GN24" s="381"/>
      <c r="GO24" s="381"/>
      <c r="GP24" s="381"/>
      <c r="GQ24" s="381"/>
      <c r="GR24" s="381"/>
      <c r="GS24" s="381"/>
      <c r="GT24" s="381"/>
      <c r="GU24" s="381"/>
      <c r="GV24" s="381"/>
      <c r="GW24" s="381"/>
      <c r="GX24" s="381"/>
      <c r="GY24" s="381"/>
      <c r="GZ24" s="381"/>
      <c r="HA24" s="381"/>
      <c r="HB24" s="381"/>
      <c r="HC24" s="381"/>
      <c r="HD24" s="381"/>
      <c r="HE24" s="381"/>
      <c r="HF24" s="381"/>
      <c r="HG24" s="381"/>
      <c r="HH24" s="381"/>
      <c r="HI24" s="381"/>
      <c r="HJ24" s="381"/>
      <c r="HK24" s="381"/>
      <c r="HL24" s="381"/>
      <c r="HM24" s="381"/>
      <c r="HN24" s="381"/>
      <c r="HO24" s="381"/>
      <c r="HP24" s="381"/>
      <c r="HQ24" s="381"/>
      <c r="HR24" s="381"/>
      <c r="HS24" s="381"/>
      <c r="HT24" s="381"/>
      <c r="HU24" s="381"/>
      <c r="HV24" s="381"/>
      <c r="HW24" s="381"/>
      <c r="HX24" s="381"/>
      <c r="HY24" s="381"/>
      <c r="HZ24" s="381"/>
      <c r="IA24" s="381"/>
      <c r="IB24" s="381"/>
      <c r="IC24" s="381"/>
      <c r="ID24" s="381"/>
      <c r="IE24" s="381"/>
      <c r="IF24" s="381"/>
      <c r="IG24" s="381"/>
      <c r="IH24" s="381"/>
      <c r="II24" s="381"/>
      <c r="IJ24" s="381"/>
      <c r="IK24" s="381"/>
      <c r="IL24" s="381"/>
      <c r="IM24" s="381"/>
      <c r="IN24" s="381"/>
      <c r="IO24" s="381"/>
      <c r="IP24" s="381"/>
      <c r="IQ24" s="381"/>
      <c r="IR24" s="381"/>
      <c r="IS24" s="381"/>
      <c r="IT24" s="381"/>
      <c r="IU24" s="381"/>
      <c r="IV24" s="381"/>
      <c r="IW24" s="381"/>
      <c r="IX24" s="381"/>
      <c r="IY24" s="381"/>
      <c r="IZ24" s="381"/>
      <c r="JA24" s="381"/>
      <c r="JB24" s="381"/>
      <c r="JC24" s="381"/>
      <c r="JD24" s="381"/>
      <c r="JE24" s="381"/>
      <c r="JF24" s="381"/>
      <c r="JG24" s="381"/>
      <c r="JH24" s="381"/>
      <c r="JI24" s="381"/>
      <c r="JJ24" s="381"/>
      <c r="JK24" s="381"/>
      <c r="JL24" s="381"/>
      <c r="JM24" s="381"/>
      <c r="JN24" s="381"/>
      <c r="JO24" s="381"/>
      <c r="JP24" s="381"/>
      <c r="JQ24" s="381"/>
      <c r="JR24" s="381"/>
      <c r="JS24" s="381"/>
      <c r="JT24" s="381"/>
      <c r="JU24" s="381"/>
      <c r="JV24" s="381"/>
      <c r="JW24" s="381"/>
      <c r="JX24" s="381"/>
      <c r="JY24" s="381"/>
      <c r="JZ24" s="381"/>
      <c r="KA24" s="381"/>
      <c r="KB24" s="381"/>
      <c r="KC24" s="381"/>
      <c r="KD24" s="381"/>
      <c r="KE24" s="381"/>
      <c r="KF24" s="381"/>
      <c r="KG24" s="381"/>
      <c r="KH24" s="381"/>
      <c r="KI24" s="381"/>
      <c r="KJ24" s="381"/>
      <c r="KK24" s="381"/>
      <c r="KL24" s="381"/>
      <c r="KM24" s="381"/>
      <c r="KN24" s="381"/>
      <c r="KO24" s="381"/>
      <c r="KP24" s="381"/>
      <c r="KQ24" s="381"/>
      <c r="KR24" s="381"/>
      <c r="KS24" s="381"/>
      <c r="KT24" s="381"/>
      <c r="KU24" s="381"/>
      <c r="KV24" s="381"/>
      <c r="KW24" s="381"/>
      <c r="KX24" s="381"/>
      <c r="KY24" s="381"/>
      <c r="KZ24" s="381"/>
      <c r="LA24" s="381"/>
      <c r="LB24" s="381"/>
      <c r="LC24" s="381"/>
      <c r="LD24" s="381"/>
      <c r="LE24" s="381"/>
      <c r="LF24" s="381"/>
      <c r="LG24" s="381"/>
      <c r="LH24" s="381"/>
      <c r="LI24" s="381"/>
      <c r="LJ24" s="381"/>
      <c r="LK24" s="381"/>
      <c r="LL24" s="381"/>
      <c r="LM24" s="381"/>
      <c r="LN24" s="381"/>
      <c r="LO24" s="381"/>
      <c r="LP24" s="381"/>
      <c r="LQ24" s="381"/>
      <c r="LR24" s="381"/>
      <c r="LS24" s="381"/>
      <c r="LT24" s="381"/>
      <c r="LU24" s="381"/>
      <c r="LV24" s="381"/>
      <c r="LW24" s="381"/>
      <c r="LX24" s="381"/>
      <c r="LY24" s="381"/>
      <c r="LZ24" s="381"/>
      <c r="MA24" s="381"/>
      <c r="MB24" s="381"/>
      <c r="MC24" s="381"/>
      <c r="MD24" s="381"/>
      <c r="ME24" s="381"/>
      <c r="MF24" s="381"/>
      <c r="MG24" s="381"/>
      <c r="MH24" s="381"/>
      <c r="MI24" s="381"/>
      <c r="MJ24" s="381"/>
      <c r="MK24" s="381"/>
      <c r="ML24" s="381"/>
      <c r="MM24" s="381"/>
      <c r="MN24" s="381"/>
      <c r="MO24" s="381"/>
      <c r="MP24" s="381"/>
      <c r="MQ24" s="381"/>
      <c r="MR24" s="381"/>
      <c r="MS24" s="381"/>
      <c r="MT24" s="381"/>
      <c r="MU24" s="381"/>
      <c r="MV24" s="381"/>
      <c r="MW24" s="381"/>
      <c r="MX24" s="381"/>
      <c r="MY24" s="381"/>
      <c r="MZ24" s="381"/>
      <c r="NA24" s="381"/>
      <c r="NB24" s="381"/>
      <c r="NC24" s="381"/>
      <c r="ND24" s="381"/>
      <c r="NE24" s="381"/>
      <c r="NF24" s="381"/>
      <c r="NG24" s="381"/>
      <c r="NH24" s="381"/>
      <c r="NI24" s="381"/>
      <c r="NJ24" s="381"/>
      <c r="NK24" s="381"/>
      <c r="NL24" s="381"/>
      <c r="NM24" s="381"/>
      <c r="NN24" s="381"/>
      <c r="NO24" s="381"/>
      <c r="NP24" s="381"/>
      <c r="NQ24" s="381"/>
      <c r="NR24" s="381"/>
      <c r="NS24" s="381"/>
      <c r="NT24" s="381"/>
      <c r="NU24" s="381"/>
      <c r="NV24" s="381"/>
      <c r="NW24" s="381"/>
      <c r="NX24" s="381"/>
      <c r="NY24" s="381"/>
      <c r="NZ24" s="381"/>
      <c r="OA24" s="381"/>
      <c r="OB24" s="381"/>
      <c r="OC24" s="381"/>
      <c r="OD24" s="381"/>
      <c r="OE24" s="381"/>
      <c r="OF24" s="381"/>
      <c r="OG24" s="381"/>
      <c r="OH24" s="381"/>
      <c r="OI24" s="381"/>
      <c r="OJ24" s="381"/>
      <c r="OK24" s="381"/>
      <c r="OL24" s="381"/>
      <c r="OM24" s="381"/>
      <c r="ON24" s="381"/>
      <c r="OO24" s="381"/>
      <c r="OP24" s="381"/>
      <c r="OQ24" s="381"/>
      <c r="OR24" s="381"/>
      <c r="OS24" s="381"/>
      <c r="OT24" s="381"/>
      <c r="OU24" s="381"/>
      <c r="OV24" s="381"/>
      <c r="OW24" s="381"/>
      <c r="OX24" s="381"/>
      <c r="OY24" s="381"/>
      <c r="OZ24" s="381"/>
      <c r="PA24" s="381"/>
      <c r="PB24" s="381"/>
      <c r="PC24" s="381"/>
      <c r="PD24" s="381"/>
      <c r="PE24" s="381"/>
      <c r="PF24" s="381"/>
      <c r="PG24" s="381"/>
      <c r="PH24" s="381"/>
      <c r="PI24" s="381"/>
      <c r="PJ24" s="381"/>
      <c r="PK24" s="381"/>
      <c r="PL24" s="381"/>
      <c r="PM24" s="381"/>
      <c r="PN24" s="381"/>
      <c r="PO24" s="381"/>
      <c r="PP24" s="381"/>
      <c r="PQ24" s="381"/>
      <c r="PR24" s="381"/>
      <c r="PS24" s="381"/>
      <c r="PT24" s="381"/>
      <c r="PU24" s="381"/>
      <c r="PV24" s="381"/>
      <c r="PW24" s="381"/>
      <c r="PX24" s="381"/>
      <c r="PY24" s="381"/>
      <c r="PZ24" s="381"/>
      <c r="QA24" s="381"/>
      <c r="QB24" s="381"/>
      <c r="QC24" s="381"/>
      <c r="QD24" s="381"/>
      <c r="QE24" s="381"/>
      <c r="QF24" s="381"/>
      <c r="QG24" s="381"/>
      <c r="QH24" s="381"/>
      <c r="QI24" s="381"/>
      <c r="QJ24" s="381"/>
      <c r="QK24" s="381"/>
      <c r="QL24" s="381"/>
      <c r="QM24" s="381"/>
      <c r="QN24" s="381"/>
      <c r="QO24" s="381"/>
      <c r="QP24" s="381"/>
      <c r="QQ24" s="381"/>
      <c r="QR24" s="381"/>
      <c r="QS24" s="381"/>
      <c r="QT24" s="381"/>
      <c r="QU24" s="381"/>
      <c r="QV24" s="381"/>
      <c r="QW24" s="381"/>
      <c r="QX24" s="381"/>
      <c r="QY24" s="381"/>
      <c r="QZ24" s="381"/>
      <c r="RA24" s="381"/>
      <c r="RB24" s="381"/>
      <c r="RC24" s="381"/>
      <c r="RD24" s="381"/>
      <c r="RE24" s="381"/>
      <c r="RF24" s="381"/>
      <c r="RG24" s="381"/>
      <c r="RH24" s="381"/>
      <c r="RI24" s="381"/>
      <c r="RJ24" s="381"/>
      <c r="RK24" s="381"/>
      <c r="RL24" s="381"/>
      <c r="RM24" s="381"/>
      <c r="RN24" s="381"/>
      <c r="RO24" s="381"/>
      <c r="RP24" s="381"/>
      <c r="RQ24" s="381"/>
      <c r="RR24" s="381"/>
      <c r="RS24" s="381"/>
      <c r="RT24" s="381"/>
      <c r="RU24" s="381"/>
      <c r="RV24" s="381"/>
      <c r="RW24" s="381"/>
      <c r="RX24" s="381"/>
      <c r="RY24" s="381"/>
      <c r="RZ24" s="381"/>
      <c r="SA24" s="381"/>
      <c r="SB24" s="381"/>
      <c r="SC24" s="381"/>
      <c r="SD24" s="381"/>
      <c r="SE24" s="381"/>
      <c r="SF24" s="381"/>
      <c r="SG24" s="381"/>
      <c r="SH24" s="381"/>
      <c r="SI24" s="381"/>
      <c r="SJ24" s="381"/>
      <c r="SK24" s="381"/>
      <c r="SL24" s="381"/>
      <c r="SM24" s="381"/>
      <c r="SN24" s="381"/>
      <c r="SO24" s="381"/>
      <c r="SP24" s="381"/>
      <c r="SQ24" s="381"/>
      <c r="SR24" s="381"/>
      <c r="SS24" s="381"/>
      <c r="ST24" s="381"/>
      <c r="SU24" s="381"/>
      <c r="SV24" s="381"/>
      <c r="SW24" s="381"/>
      <c r="SX24" s="381"/>
      <c r="SY24" s="381"/>
      <c r="SZ24" s="381"/>
      <c r="TA24" s="381"/>
      <c r="TB24" s="381"/>
      <c r="TC24" s="381"/>
      <c r="TD24" s="381"/>
      <c r="TE24" s="381"/>
      <c r="TF24" s="381"/>
      <c r="TG24" s="381"/>
      <c r="TH24" s="381"/>
      <c r="TI24" s="381"/>
      <c r="TJ24" s="381"/>
      <c r="TK24" s="381"/>
      <c r="TL24" s="381"/>
      <c r="TM24" s="381"/>
      <c r="TN24" s="381"/>
      <c r="TO24" s="381"/>
      <c r="TP24" s="381"/>
      <c r="TQ24" s="381"/>
      <c r="TR24" s="381"/>
      <c r="TS24" s="381"/>
      <c r="TT24" s="381"/>
      <c r="TU24" s="381"/>
      <c r="TV24" s="381"/>
      <c r="TW24" s="381"/>
      <c r="TX24" s="381"/>
      <c r="TY24" s="381"/>
      <c r="TZ24" s="381"/>
      <c r="UA24" s="381"/>
      <c r="UB24" s="381"/>
      <c r="UC24" s="381"/>
      <c r="UD24" s="381"/>
      <c r="UE24" s="381"/>
      <c r="UF24" s="381"/>
      <c r="UG24" s="381"/>
      <c r="UH24" s="381"/>
      <c r="UI24" s="381"/>
      <c r="UJ24" s="381"/>
      <c r="UK24" s="381"/>
      <c r="UL24" s="381"/>
      <c r="UM24" s="381"/>
      <c r="UN24" s="381"/>
      <c r="UO24" s="381"/>
      <c r="UP24" s="381"/>
      <c r="UQ24" s="381"/>
      <c r="UR24" s="381"/>
      <c r="US24" s="381"/>
      <c r="UT24" s="381"/>
      <c r="UU24" s="381"/>
      <c r="UV24" s="381"/>
      <c r="UW24" s="381"/>
      <c r="UX24" s="381"/>
      <c r="UY24" s="381"/>
      <c r="UZ24" s="381"/>
      <c r="VA24" s="381"/>
      <c r="VB24" s="381"/>
      <c r="VC24" s="381"/>
      <c r="VD24" s="381"/>
      <c r="VE24" s="381"/>
      <c r="VF24" s="381"/>
      <c r="VG24" s="381"/>
      <c r="VH24" s="381"/>
      <c r="VI24" s="381"/>
      <c r="VJ24" s="381"/>
      <c r="VK24" s="381"/>
      <c r="VL24" s="381"/>
      <c r="VM24" s="381"/>
      <c r="VN24" s="381"/>
      <c r="VO24" s="381"/>
      <c r="VP24" s="381"/>
      <c r="VQ24" s="381"/>
      <c r="VR24" s="381"/>
      <c r="VS24" s="381"/>
      <c r="VT24" s="381"/>
      <c r="VU24" s="381"/>
      <c r="VV24" s="381"/>
      <c r="VW24" s="381"/>
      <c r="VX24" s="381"/>
      <c r="VY24" s="381"/>
      <c r="VZ24" s="381"/>
      <c r="WA24" s="381"/>
      <c r="WB24" s="381"/>
      <c r="WC24" s="381"/>
      <c r="WD24" s="381"/>
      <c r="WE24" s="381"/>
      <c r="WF24" s="381"/>
      <c r="WG24" s="381"/>
      <c r="WH24" s="381"/>
      <c r="WI24" s="381"/>
      <c r="WJ24" s="381"/>
      <c r="WK24" s="381"/>
      <c r="WL24" s="381"/>
      <c r="WM24" s="381"/>
      <c r="WN24" s="381"/>
      <c r="WO24" s="381"/>
      <c r="WP24" s="381"/>
      <c r="WQ24" s="381"/>
      <c r="WR24" s="381"/>
      <c r="WS24" s="381"/>
      <c r="WT24" s="381"/>
      <c r="WU24" s="381"/>
      <c r="WV24" s="381"/>
      <c r="WW24" s="381"/>
      <c r="WX24" s="381"/>
      <c r="WY24" s="381"/>
      <c r="WZ24" s="381"/>
      <c r="XA24" s="381"/>
      <c r="XB24" s="381"/>
      <c r="XC24" s="381"/>
      <c r="XD24" s="381"/>
      <c r="XE24" s="381"/>
      <c r="XF24" s="381"/>
      <c r="XG24" s="381"/>
      <c r="XH24" s="381"/>
      <c r="XI24" s="381"/>
      <c r="XJ24" s="381"/>
      <c r="XK24" s="381"/>
      <c r="XL24" s="381"/>
      <c r="XM24" s="381"/>
      <c r="XN24" s="381"/>
      <c r="XO24" s="381"/>
      <c r="XP24" s="381"/>
      <c r="XQ24" s="381"/>
      <c r="XR24" s="381"/>
      <c r="XS24" s="381"/>
      <c r="XT24" s="381"/>
      <c r="XU24" s="381"/>
      <c r="XV24" s="381"/>
      <c r="XW24" s="381"/>
      <c r="XX24" s="381"/>
      <c r="XY24" s="381"/>
      <c r="XZ24" s="381"/>
      <c r="YA24" s="381"/>
      <c r="YB24" s="381"/>
      <c r="YC24" s="381"/>
      <c r="YD24" s="381"/>
      <c r="YE24" s="381"/>
      <c r="YF24" s="381"/>
      <c r="YG24" s="381"/>
      <c r="YH24" s="381"/>
      <c r="YI24" s="381"/>
      <c r="YJ24" s="381"/>
      <c r="YK24" s="381"/>
      <c r="YL24" s="381"/>
      <c r="YM24" s="381"/>
      <c r="YN24" s="381"/>
      <c r="YO24" s="381"/>
      <c r="YP24" s="381"/>
      <c r="YQ24" s="381"/>
      <c r="YR24" s="381"/>
      <c r="YS24" s="381"/>
      <c r="YT24" s="381"/>
      <c r="YU24" s="381"/>
      <c r="YV24" s="381"/>
      <c r="YW24" s="381"/>
      <c r="YX24" s="381"/>
      <c r="YY24" s="381"/>
      <c r="YZ24" s="381"/>
      <c r="ZA24" s="381"/>
      <c r="ZB24" s="381"/>
      <c r="ZC24" s="381"/>
      <c r="ZD24" s="381"/>
      <c r="ZE24" s="381"/>
      <c r="ZF24" s="381"/>
      <c r="ZG24" s="381"/>
      <c r="ZH24" s="381"/>
      <c r="ZI24" s="381"/>
      <c r="ZJ24" s="381"/>
      <c r="ZK24" s="381"/>
      <c r="ZL24" s="381"/>
      <c r="ZM24" s="381"/>
      <c r="ZN24" s="381"/>
      <c r="ZO24" s="381"/>
      <c r="ZP24" s="381"/>
      <c r="ZQ24" s="381"/>
      <c r="ZR24" s="381"/>
      <c r="ZS24" s="381"/>
      <c r="ZT24" s="381"/>
      <c r="ZU24" s="381"/>
      <c r="ZV24" s="381"/>
      <c r="ZW24" s="381"/>
      <c r="ZX24" s="381"/>
      <c r="ZY24" s="381"/>
      <c r="ZZ24" s="381"/>
      <c r="AAA24" s="381"/>
      <c r="AAB24" s="381"/>
      <c r="AAC24" s="381"/>
      <c r="AAD24" s="381"/>
      <c r="AAE24" s="381"/>
      <c r="AAF24" s="381"/>
      <c r="AAG24" s="381"/>
      <c r="AAH24" s="381"/>
      <c r="AAI24" s="381"/>
      <c r="AAJ24" s="381"/>
      <c r="AAK24" s="381"/>
      <c r="AAL24" s="381"/>
      <c r="AAM24" s="381"/>
      <c r="AAN24" s="381"/>
      <c r="AAO24" s="381"/>
      <c r="AAP24" s="381"/>
      <c r="AAQ24" s="381"/>
      <c r="AAR24" s="381"/>
      <c r="AAS24" s="381"/>
      <c r="AAT24" s="381"/>
      <c r="AAU24" s="381"/>
      <c r="AAV24" s="381"/>
      <c r="AAW24" s="381"/>
      <c r="AAX24" s="381"/>
      <c r="AAY24" s="381"/>
      <c r="AAZ24" s="381"/>
      <c r="ABA24" s="381"/>
      <c r="ABB24" s="381"/>
      <c r="ABC24" s="381"/>
      <c r="ABD24" s="381"/>
      <c r="ABE24" s="381"/>
      <c r="ABF24" s="381"/>
      <c r="ABG24" s="381"/>
      <c r="ABH24" s="381"/>
      <c r="ABI24" s="381"/>
      <c r="ABJ24" s="381"/>
      <c r="ABK24" s="381"/>
      <c r="ABL24" s="381"/>
      <c r="ABM24" s="381"/>
      <c r="ABN24" s="381"/>
      <c r="ABO24" s="381"/>
      <c r="ABP24" s="381"/>
      <c r="ABQ24" s="381"/>
      <c r="ABR24" s="381"/>
      <c r="ABS24" s="381"/>
      <c r="ABT24" s="381"/>
      <c r="ABU24" s="381"/>
      <c r="ABV24" s="381"/>
      <c r="ABW24" s="381"/>
      <c r="ABX24" s="381"/>
      <c r="ABY24" s="381"/>
      <c r="ABZ24" s="381"/>
      <c r="ACA24" s="381"/>
      <c r="ACB24" s="381"/>
      <c r="ACC24" s="381"/>
      <c r="ACD24" s="381"/>
      <c r="ACE24" s="381"/>
      <c r="ACF24" s="381"/>
      <c r="ACG24" s="381"/>
      <c r="ACH24" s="381"/>
      <c r="ACI24" s="381"/>
      <c r="ACJ24" s="381"/>
      <c r="ACK24" s="381"/>
      <c r="ACL24" s="381"/>
      <c r="ACM24" s="381"/>
      <c r="ACN24" s="381"/>
      <c r="ACO24" s="381"/>
      <c r="ACP24" s="381"/>
      <c r="ACQ24" s="381"/>
      <c r="ACR24" s="381"/>
      <c r="ACS24" s="381"/>
      <c r="ACT24" s="381"/>
      <c r="ACU24" s="381"/>
      <c r="ACV24" s="381"/>
      <c r="ACW24" s="381"/>
      <c r="ACX24" s="381"/>
      <c r="ACY24" s="381"/>
      <c r="ACZ24" s="381"/>
      <c r="ADA24" s="381"/>
      <c r="ADB24" s="381"/>
      <c r="ADC24" s="381"/>
      <c r="ADD24" s="381"/>
      <c r="ADE24" s="381"/>
      <c r="ADF24" s="381"/>
      <c r="ADG24" s="381"/>
      <c r="ADH24" s="381"/>
      <c r="ADI24" s="381"/>
      <c r="ADJ24" s="381"/>
      <c r="ADK24" s="381"/>
      <c r="ADL24" s="381"/>
      <c r="ADM24" s="381"/>
      <c r="ADN24" s="381"/>
      <c r="ADO24" s="381"/>
      <c r="ADP24" s="381"/>
      <c r="ADQ24" s="381"/>
      <c r="ADR24" s="381"/>
      <c r="ADS24" s="381"/>
      <c r="ADT24" s="381"/>
      <c r="ADU24" s="381"/>
      <c r="ADV24" s="381"/>
      <c r="ADW24" s="381"/>
      <c r="ADX24" s="381"/>
      <c r="ADY24" s="381"/>
      <c r="ADZ24" s="381"/>
      <c r="AEA24" s="381"/>
      <c r="AEB24" s="381"/>
      <c r="AEC24" s="381"/>
      <c r="AED24" s="381"/>
      <c r="AEE24" s="381"/>
      <c r="AEF24" s="381"/>
      <c r="AEG24" s="381"/>
      <c r="AEH24" s="381"/>
      <c r="AEI24" s="381"/>
      <c r="AEJ24" s="381"/>
      <c r="AEK24" s="381"/>
      <c r="AEL24" s="381"/>
      <c r="AEM24" s="381"/>
      <c r="AEN24" s="381"/>
      <c r="AEO24" s="381"/>
      <c r="AEP24" s="381"/>
      <c r="AEQ24" s="381"/>
      <c r="AER24" s="381"/>
      <c r="AES24" s="381"/>
      <c r="AET24" s="381"/>
      <c r="AEU24" s="381"/>
      <c r="AEV24" s="381"/>
      <c r="AEW24" s="381"/>
      <c r="AEX24" s="381"/>
      <c r="AEY24" s="381"/>
      <c r="AEZ24" s="381"/>
      <c r="AFA24" s="381"/>
      <c r="AFB24" s="381"/>
      <c r="AFC24" s="381"/>
      <c r="AFD24" s="381"/>
      <c r="AFE24" s="381"/>
      <c r="AFF24" s="381"/>
      <c r="AFG24" s="381"/>
      <c r="AFH24" s="381"/>
      <c r="AFI24" s="381"/>
      <c r="AFJ24" s="381"/>
      <c r="AFK24" s="381"/>
      <c r="AFL24" s="381"/>
      <c r="AFM24" s="381"/>
      <c r="AFN24" s="381"/>
      <c r="AFO24" s="381"/>
      <c r="AFP24" s="381"/>
      <c r="AFQ24" s="381"/>
      <c r="AFR24" s="381"/>
      <c r="AFS24" s="381"/>
      <c r="AFT24" s="381"/>
      <c r="AFU24" s="381"/>
      <c r="AFV24" s="381"/>
      <c r="AFW24" s="381"/>
      <c r="AFX24" s="381"/>
      <c r="AFY24" s="381"/>
      <c r="AFZ24" s="381"/>
      <c r="AGA24" s="381"/>
      <c r="AGB24" s="381"/>
      <c r="AGC24" s="381"/>
      <c r="AGD24" s="381"/>
      <c r="AGE24" s="381"/>
      <c r="AGF24" s="381"/>
      <c r="AGG24" s="381"/>
      <c r="AGH24" s="381"/>
      <c r="AGI24" s="381"/>
      <c r="AGJ24" s="381"/>
      <c r="AGK24" s="381"/>
      <c r="AGL24" s="381"/>
      <c r="AGM24" s="381"/>
      <c r="AGN24" s="381"/>
      <c r="AGO24" s="381"/>
      <c r="AGP24" s="381"/>
      <c r="AGQ24" s="381"/>
      <c r="AGR24" s="381"/>
      <c r="AGS24" s="381"/>
      <c r="AGT24" s="381"/>
      <c r="AGU24" s="381"/>
      <c r="AGV24" s="381"/>
      <c r="AGW24" s="381"/>
      <c r="AGX24" s="381"/>
      <c r="AGY24" s="381"/>
      <c r="AGZ24" s="381"/>
      <c r="AHA24" s="381"/>
      <c r="AHB24" s="381"/>
      <c r="AHC24" s="381"/>
      <c r="AHD24" s="381"/>
      <c r="AHE24" s="381"/>
      <c r="AHF24" s="381"/>
      <c r="AHG24" s="381"/>
      <c r="AHH24" s="381"/>
      <c r="AHI24" s="381"/>
      <c r="AHJ24" s="381"/>
      <c r="AHK24" s="381"/>
      <c r="AHL24" s="381"/>
      <c r="AHM24" s="381"/>
      <c r="AHN24" s="381"/>
      <c r="AHO24" s="381"/>
      <c r="AHP24" s="381"/>
      <c r="AHQ24" s="381"/>
      <c r="AHR24" s="381"/>
      <c r="AHS24" s="381"/>
      <c r="AHT24" s="381"/>
      <c r="AHU24" s="381"/>
      <c r="AHV24" s="381"/>
      <c r="AHW24" s="381"/>
      <c r="AHX24" s="381"/>
      <c r="AHY24" s="381"/>
      <c r="AHZ24" s="381"/>
      <c r="AIA24" s="381"/>
      <c r="AIB24" s="381"/>
      <c r="AIC24" s="381"/>
      <c r="AID24" s="381"/>
      <c r="AIE24" s="381"/>
      <c r="AIF24" s="381"/>
      <c r="AIG24" s="381"/>
      <c r="AIH24" s="381"/>
      <c r="AII24" s="381"/>
      <c r="AIJ24" s="381"/>
      <c r="AIK24" s="381"/>
      <c r="AIL24" s="381"/>
      <c r="AIM24" s="381"/>
      <c r="AIN24" s="381"/>
      <c r="AIO24" s="381"/>
      <c r="AIP24" s="381"/>
      <c r="AIQ24" s="381"/>
      <c r="AIR24" s="381"/>
      <c r="AIS24" s="381"/>
      <c r="AIT24" s="381"/>
      <c r="AIU24" s="381"/>
      <c r="AIV24" s="381"/>
      <c r="AIW24" s="381"/>
      <c r="AIX24" s="381"/>
      <c r="AIY24" s="381"/>
      <c r="AIZ24" s="381"/>
      <c r="AJA24" s="381"/>
      <c r="AJB24" s="381"/>
      <c r="AJC24" s="381"/>
      <c r="AJD24" s="381"/>
      <c r="AJE24" s="381"/>
      <c r="AJF24" s="381"/>
      <c r="AJG24" s="381"/>
      <c r="AJH24" s="381"/>
      <c r="AJI24" s="381"/>
      <c r="AJJ24" s="381"/>
      <c r="AJK24" s="381"/>
      <c r="AJL24" s="381"/>
      <c r="AJM24" s="381"/>
      <c r="AJN24" s="381"/>
      <c r="AJO24" s="381"/>
      <c r="AJP24" s="381"/>
      <c r="AJQ24" s="381"/>
      <c r="AJR24" s="381"/>
      <c r="AJS24" s="381"/>
      <c r="AJT24" s="381"/>
      <c r="AJU24" s="381"/>
      <c r="AJV24" s="381"/>
      <c r="AJW24" s="381"/>
      <c r="AJX24" s="381"/>
      <c r="AJY24" s="381"/>
      <c r="AJZ24" s="381"/>
      <c r="AKA24" s="381"/>
      <c r="AKB24" s="381"/>
      <c r="AKC24" s="381"/>
      <c r="AKD24" s="381"/>
      <c r="AKE24" s="381"/>
      <c r="AKF24" s="381"/>
      <c r="AKG24" s="381"/>
      <c r="AKH24" s="381"/>
      <c r="AKI24" s="381"/>
      <c r="AKJ24" s="381"/>
      <c r="AKK24" s="381"/>
      <c r="AKL24" s="381"/>
      <c r="AKM24" s="381"/>
      <c r="AKN24" s="381"/>
      <c r="AKO24" s="381"/>
      <c r="AKP24" s="381"/>
      <c r="AKQ24" s="381"/>
      <c r="AKR24" s="381"/>
      <c r="AKS24" s="381"/>
      <c r="AKT24" s="381"/>
      <c r="AKU24" s="381"/>
      <c r="AKV24" s="381"/>
      <c r="AKW24" s="381"/>
      <c r="AKX24" s="381"/>
      <c r="AKY24" s="381"/>
      <c r="AKZ24" s="381"/>
      <c r="ALA24" s="381"/>
      <c r="ALB24" s="381"/>
      <c r="ALC24" s="381"/>
    </row>
    <row r="25" spans="1:991" s="400" customFormat="1" ht="121.5" customHeight="1" thickBot="1" x14ac:dyDescent="0.3">
      <c r="A25" s="381"/>
      <c r="B25" s="360"/>
      <c r="C25" s="361" t="e">
        <f>J25-#REF!</f>
        <v>#REF!</v>
      </c>
      <c r="D25" s="362" t="s">
        <v>469</v>
      </c>
      <c r="E25" s="382"/>
      <c r="F25" s="383"/>
      <c r="G25" s="384"/>
      <c r="H25" s="385" t="s">
        <v>112</v>
      </c>
      <c r="I25" s="386" t="s">
        <v>470</v>
      </c>
      <c r="J25" s="387">
        <v>150000</v>
      </c>
      <c r="K25" s="388">
        <v>0</v>
      </c>
      <c r="L25" s="389">
        <v>150000</v>
      </c>
      <c r="M25" s="390">
        <v>0</v>
      </c>
      <c r="N25" s="390">
        <v>0</v>
      </c>
      <c r="O25" s="391">
        <v>0</v>
      </c>
      <c r="P25" s="389"/>
      <c r="Q25" s="390"/>
      <c r="R25" s="390"/>
      <c r="S25" s="392"/>
      <c r="T25" s="393"/>
      <c r="U25" s="389"/>
      <c r="V25" s="390"/>
      <c r="W25" s="390"/>
      <c r="X25" s="390"/>
      <c r="Y25" s="390"/>
      <c r="Z25" s="390"/>
      <c r="AA25" s="390"/>
      <c r="AB25" s="392"/>
      <c r="AC25" s="392"/>
      <c r="AD25" s="392"/>
      <c r="AE25" s="392"/>
      <c r="AF25" s="390"/>
      <c r="AG25" s="392"/>
      <c r="AH25" s="394"/>
      <c r="AI25" s="393"/>
      <c r="AJ25" s="389"/>
      <c r="AK25" s="390"/>
      <c r="AL25" s="395"/>
      <c r="AM25" s="376">
        <v>0</v>
      </c>
      <c r="AN25" s="395"/>
      <c r="AO25" s="376">
        <v>0</v>
      </c>
      <c r="AP25" s="396"/>
      <c r="AQ25" s="390"/>
      <c r="AR25" s="390"/>
      <c r="AS25" s="390">
        <v>150000</v>
      </c>
      <c r="AT25" s="392"/>
      <c r="AU25" s="392"/>
      <c r="AV25" s="390"/>
      <c r="AW25" s="392"/>
      <c r="AX25" s="393"/>
      <c r="AY25" s="389"/>
      <c r="AZ25" s="397"/>
      <c r="BA25" s="398"/>
      <c r="BB25" s="399"/>
      <c r="BC25" s="381"/>
      <c r="BD25" s="381"/>
      <c r="BE25" s="381"/>
      <c r="BF25" s="381"/>
      <c r="BG25" s="381"/>
      <c r="BH25" s="381"/>
      <c r="BI25" s="381"/>
      <c r="BJ25" s="381"/>
      <c r="BK25" s="381"/>
      <c r="BL25" s="381"/>
      <c r="BM25" s="381"/>
      <c r="BN25" s="381"/>
      <c r="BO25" s="381"/>
      <c r="BP25" s="381"/>
      <c r="BQ25" s="381"/>
      <c r="BR25" s="381"/>
      <c r="BS25" s="381"/>
      <c r="BT25" s="381"/>
      <c r="BU25" s="381"/>
      <c r="BV25" s="381"/>
      <c r="BW25" s="381"/>
      <c r="BX25" s="381"/>
      <c r="BY25" s="381"/>
      <c r="BZ25" s="381"/>
      <c r="CA25" s="381"/>
      <c r="CB25" s="381"/>
      <c r="CC25" s="381"/>
      <c r="CD25" s="381"/>
      <c r="CE25" s="381"/>
      <c r="CF25" s="381"/>
      <c r="CG25" s="381"/>
      <c r="CH25" s="381"/>
      <c r="CI25" s="381"/>
      <c r="CJ25" s="381"/>
      <c r="CK25" s="381"/>
      <c r="CL25" s="381"/>
      <c r="CM25" s="381"/>
      <c r="CN25" s="381"/>
      <c r="CO25" s="381"/>
      <c r="CP25" s="381"/>
      <c r="CQ25" s="381"/>
      <c r="CR25" s="381"/>
      <c r="CS25" s="381"/>
      <c r="CT25" s="381"/>
      <c r="CU25" s="381"/>
      <c r="CV25" s="381"/>
      <c r="CW25" s="381"/>
      <c r="CX25" s="381"/>
      <c r="CY25" s="381"/>
      <c r="CZ25" s="381"/>
      <c r="DA25" s="381"/>
      <c r="DB25" s="381"/>
      <c r="DC25" s="381"/>
      <c r="DD25" s="381"/>
      <c r="DE25" s="381"/>
      <c r="DF25" s="381"/>
      <c r="DG25" s="381"/>
      <c r="DH25" s="381"/>
      <c r="DI25" s="381"/>
      <c r="DJ25" s="381"/>
      <c r="DK25" s="381"/>
      <c r="DL25" s="381"/>
      <c r="DM25" s="381"/>
      <c r="DN25" s="381"/>
      <c r="DO25" s="381"/>
      <c r="DP25" s="381"/>
      <c r="DQ25" s="381"/>
      <c r="DR25" s="381"/>
      <c r="DS25" s="381"/>
      <c r="DT25" s="381"/>
      <c r="DU25" s="381"/>
      <c r="DV25" s="381"/>
      <c r="DW25" s="381"/>
      <c r="DX25" s="381"/>
      <c r="DY25" s="381"/>
      <c r="DZ25" s="381"/>
      <c r="EA25" s="381"/>
      <c r="EB25" s="381"/>
      <c r="EC25" s="381"/>
      <c r="ED25" s="381"/>
      <c r="EE25" s="381"/>
      <c r="EF25" s="381"/>
      <c r="EG25" s="381"/>
      <c r="EH25" s="381"/>
      <c r="EI25" s="381"/>
      <c r="EJ25" s="381"/>
      <c r="EK25" s="381"/>
      <c r="EL25" s="381"/>
      <c r="EM25" s="381"/>
      <c r="EN25" s="381"/>
      <c r="EO25" s="381"/>
      <c r="EP25" s="381"/>
      <c r="EQ25" s="381"/>
      <c r="ER25" s="381"/>
      <c r="ES25" s="381"/>
      <c r="ET25" s="381"/>
      <c r="EU25" s="381"/>
      <c r="EV25" s="381"/>
      <c r="EW25" s="381"/>
      <c r="EX25" s="381"/>
      <c r="EY25" s="381"/>
      <c r="EZ25" s="381"/>
      <c r="FA25" s="381"/>
      <c r="FB25" s="381"/>
      <c r="FC25" s="381"/>
      <c r="FD25" s="381"/>
      <c r="FE25" s="381"/>
      <c r="FF25" s="381"/>
      <c r="FG25" s="381"/>
      <c r="FH25" s="381"/>
      <c r="FI25" s="381"/>
      <c r="FJ25" s="381"/>
      <c r="FK25" s="381"/>
      <c r="FL25" s="381"/>
      <c r="FM25" s="381"/>
      <c r="FN25" s="381"/>
      <c r="FO25" s="381"/>
      <c r="FP25" s="381"/>
      <c r="FQ25" s="381"/>
      <c r="FR25" s="381"/>
      <c r="FS25" s="381"/>
      <c r="FT25" s="381"/>
      <c r="FU25" s="381"/>
      <c r="FV25" s="381"/>
      <c r="FW25" s="381"/>
      <c r="FX25" s="381"/>
      <c r="FY25" s="381"/>
      <c r="FZ25" s="381"/>
      <c r="GA25" s="381"/>
      <c r="GB25" s="381"/>
      <c r="GC25" s="381"/>
      <c r="GD25" s="381"/>
      <c r="GE25" s="381"/>
      <c r="GF25" s="381"/>
      <c r="GG25" s="381"/>
      <c r="GH25" s="381"/>
      <c r="GI25" s="381"/>
      <c r="GJ25" s="381"/>
      <c r="GK25" s="381"/>
      <c r="GL25" s="381"/>
      <c r="GM25" s="381"/>
      <c r="GN25" s="381"/>
      <c r="GO25" s="381"/>
      <c r="GP25" s="381"/>
      <c r="GQ25" s="381"/>
      <c r="GR25" s="381"/>
      <c r="GS25" s="381"/>
      <c r="GT25" s="381"/>
      <c r="GU25" s="381"/>
      <c r="GV25" s="381"/>
      <c r="GW25" s="381"/>
      <c r="GX25" s="381"/>
      <c r="GY25" s="381"/>
      <c r="GZ25" s="381"/>
      <c r="HA25" s="381"/>
      <c r="HB25" s="381"/>
      <c r="HC25" s="381"/>
      <c r="HD25" s="381"/>
      <c r="HE25" s="381"/>
      <c r="HF25" s="381"/>
      <c r="HG25" s="381"/>
      <c r="HH25" s="381"/>
      <c r="HI25" s="381"/>
      <c r="HJ25" s="381"/>
      <c r="HK25" s="381"/>
      <c r="HL25" s="381"/>
      <c r="HM25" s="381"/>
      <c r="HN25" s="381"/>
      <c r="HO25" s="381"/>
      <c r="HP25" s="381"/>
      <c r="HQ25" s="381"/>
      <c r="HR25" s="381"/>
      <c r="HS25" s="381"/>
      <c r="HT25" s="381"/>
      <c r="HU25" s="381"/>
      <c r="HV25" s="381"/>
      <c r="HW25" s="381"/>
      <c r="HX25" s="381"/>
      <c r="HY25" s="381"/>
      <c r="HZ25" s="381"/>
      <c r="IA25" s="381"/>
      <c r="IB25" s="381"/>
      <c r="IC25" s="381"/>
      <c r="ID25" s="381"/>
      <c r="IE25" s="381"/>
      <c r="IF25" s="381"/>
      <c r="IG25" s="381"/>
      <c r="IH25" s="381"/>
      <c r="II25" s="381"/>
      <c r="IJ25" s="381"/>
      <c r="IK25" s="381"/>
      <c r="IL25" s="381"/>
      <c r="IM25" s="381"/>
      <c r="IN25" s="381"/>
      <c r="IO25" s="381"/>
      <c r="IP25" s="381"/>
      <c r="IQ25" s="381"/>
      <c r="IR25" s="381"/>
      <c r="IS25" s="381"/>
      <c r="IT25" s="381"/>
      <c r="IU25" s="381"/>
      <c r="IV25" s="381"/>
      <c r="IW25" s="381"/>
      <c r="IX25" s="381"/>
      <c r="IY25" s="381"/>
      <c r="IZ25" s="381"/>
      <c r="JA25" s="381"/>
      <c r="JB25" s="381"/>
      <c r="JC25" s="381"/>
      <c r="JD25" s="381"/>
      <c r="JE25" s="381"/>
      <c r="JF25" s="381"/>
      <c r="JG25" s="381"/>
      <c r="JH25" s="381"/>
      <c r="JI25" s="381"/>
      <c r="JJ25" s="381"/>
      <c r="JK25" s="381"/>
      <c r="JL25" s="381"/>
      <c r="JM25" s="381"/>
      <c r="JN25" s="381"/>
      <c r="JO25" s="381"/>
      <c r="JP25" s="381"/>
      <c r="JQ25" s="381"/>
      <c r="JR25" s="381"/>
      <c r="JS25" s="381"/>
      <c r="JT25" s="381"/>
      <c r="JU25" s="381"/>
      <c r="JV25" s="381"/>
      <c r="JW25" s="381"/>
      <c r="JX25" s="381"/>
      <c r="JY25" s="381"/>
      <c r="JZ25" s="381"/>
      <c r="KA25" s="381"/>
      <c r="KB25" s="381"/>
      <c r="KC25" s="381"/>
      <c r="KD25" s="381"/>
      <c r="KE25" s="381"/>
      <c r="KF25" s="381"/>
      <c r="KG25" s="381"/>
      <c r="KH25" s="381"/>
      <c r="KI25" s="381"/>
      <c r="KJ25" s="381"/>
      <c r="KK25" s="381"/>
      <c r="KL25" s="381"/>
      <c r="KM25" s="381"/>
      <c r="KN25" s="381"/>
      <c r="KO25" s="381"/>
      <c r="KP25" s="381"/>
      <c r="KQ25" s="381"/>
      <c r="KR25" s="381"/>
      <c r="KS25" s="381"/>
      <c r="KT25" s="381"/>
      <c r="KU25" s="381"/>
      <c r="KV25" s="381"/>
      <c r="KW25" s="381"/>
      <c r="KX25" s="381"/>
      <c r="KY25" s="381"/>
      <c r="KZ25" s="381"/>
      <c r="LA25" s="381"/>
      <c r="LB25" s="381"/>
      <c r="LC25" s="381"/>
      <c r="LD25" s="381"/>
      <c r="LE25" s="381"/>
      <c r="LF25" s="381"/>
      <c r="LG25" s="381"/>
      <c r="LH25" s="381"/>
      <c r="LI25" s="381"/>
      <c r="LJ25" s="381"/>
      <c r="LK25" s="381"/>
      <c r="LL25" s="381"/>
      <c r="LM25" s="381"/>
      <c r="LN25" s="381"/>
      <c r="LO25" s="381"/>
      <c r="LP25" s="381"/>
      <c r="LQ25" s="381"/>
      <c r="LR25" s="381"/>
      <c r="LS25" s="381"/>
      <c r="LT25" s="381"/>
      <c r="LU25" s="381"/>
      <c r="LV25" s="381"/>
      <c r="LW25" s="381"/>
      <c r="LX25" s="381"/>
      <c r="LY25" s="381"/>
      <c r="LZ25" s="381"/>
      <c r="MA25" s="381"/>
      <c r="MB25" s="381"/>
      <c r="MC25" s="381"/>
      <c r="MD25" s="381"/>
      <c r="ME25" s="381"/>
      <c r="MF25" s="381"/>
      <c r="MG25" s="381"/>
      <c r="MH25" s="381"/>
      <c r="MI25" s="381"/>
      <c r="MJ25" s="381"/>
      <c r="MK25" s="381"/>
      <c r="ML25" s="381"/>
      <c r="MM25" s="381"/>
      <c r="MN25" s="381"/>
      <c r="MO25" s="381"/>
      <c r="MP25" s="381"/>
      <c r="MQ25" s="381"/>
      <c r="MR25" s="381"/>
      <c r="MS25" s="381"/>
      <c r="MT25" s="381"/>
      <c r="MU25" s="381"/>
      <c r="MV25" s="381"/>
      <c r="MW25" s="381"/>
      <c r="MX25" s="381"/>
      <c r="MY25" s="381"/>
      <c r="MZ25" s="381"/>
      <c r="NA25" s="381"/>
      <c r="NB25" s="381"/>
      <c r="NC25" s="381"/>
      <c r="ND25" s="381"/>
      <c r="NE25" s="381"/>
      <c r="NF25" s="381"/>
      <c r="NG25" s="381"/>
      <c r="NH25" s="381"/>
      <c r="NI25" s="381"/>
      <c r="NJ25" s="381"/>
      <c r="NK25" s="381"/>
      <c r="NL25" s="381"/>
      <c r="NM25" s="381"/>
      <c r="NN25" s="381"/>
      <c r="NO25" s="381"/>
      <c r="NP25" s="381"/>
      <c r="NQ25" s="381"/>
      <c r="NR25" s="381"/>
      <c r="NS25" s="381"/>
      <c r="NT25" s="381"/>
      <c r="NU25" s="381"/>
      <c r="NV25" s="381"/>
      <c r="NW25" s="381"/>
      <c r="NX25" s="381"/>
      <c r="NY25" s="381"/>
      <c r="NZ25" s="381"/>
      <c r="OA25" s="381"/>
      <c r="OB25" s="381"/>
      <c r="OC25" s="381"/>
      <c r="OD25" s="381"/>
      <c r="OE25" s="381"/>
      <c r="OF25" s="381"/>
      <c r="OG25" s="381"/>
      <c r="OH25" s="381"/>
      <c r="OI25" s="381"/>
      <c r="OJ25" s="381"/>
      <c r="OK25" s="381"/>
      <c r="OL25" s="381"/>
      <c r="OM25" s="381"/>
      <c r="ON25" s="381"/>
      <c r="OO25" s="381"/>
      <c r="OP25" s="381"/>
      <c r="OQ25" s="381"/>
      <c r="OR25" s="381"/>
      <c r="OS25" s="381"/>
      <c r="OT25" s="381"/>
      <c r="OU25" s="381"/>
      <c r="OV25" s="381"/>
      <c r="OW25" s="381"/>
      <c r="OX25" s="381"/>
      <c r="OY25" s="381"/>
      <c r="OZ25" s="381"/>
      <c r="PA25" s="381"/>
      <c r="PB25" s="381"/>
      <c r="PC25" s="381"/>
      <c r="PD25" s="381"/>
      <c r="PE25" s="381"/>
      <c r="PF25" s="381"/>
      <c r="PG25" s="381"/>
      <c r="PH25" s="381"/>
      <c r="PI25" s="381"/>
      <c r="PJ25" s="381"/>
      <c r="PK25" s="381"/>
      <c r="PL25" s="381"/>
      <c r="PM25" s="381"/>
      <c r="PN25" s="381"/>
      <c r="PO25" s="381"/>
      <c r="PP25" s="381"/>
      <c r="PQ25" s="381"/>
      <c r="PR25" s="381"/>
      <c r="PS25" s="381"/>
      <c r="PT25" s="381"/>
      <c r="PU25" s="381"/>
      <c r="PV25" s="381"/>
      <c r="PW25" s="381"/>
      <c r="PX25" s="381"/>
      <c r="PY25" s="381"/>
      <c r="PZ25" s="381"/>
      <c r="QA25" s="381"/>
      <c r="QB25" s="381"/>
      <c r="QC25" s="381"/>
      <c r="QD25" s="381"/>
      <c r="QE25" s="381"/>
      <c r="QF25" s="381"/>
      <c r="QG25" s="381"/>
      <c r="QH25" s="381"/>
      <c r="QI25" s="381"/>
      <c r="QJ25" s="381"/>
      <c r="QK25" s="381"/>
      <c r="QL25" s="381"/>
      <c r="QM25" s="381"/>
      <c r="QN25" s="381"/>
      <c r="QO25" s="381"/>
      <c r="QP25" s="381"/>
      <c r="QQ25" s="381"/>
      <c r="QR25" s="381"/>
      <c r="QS25" s="381"/>
      <c r="QT25" s="381"/>
      <c r="QU25" s="381"/>
      <c r="QV25" s="381"/>
      <c r="QW25" s="381"/>
      <c r="QX25" s="381"/>
      <c r="QY25" s="381"/>
      <c r="QZ25" s="381"/>
      <c r="RA25" s="381"/>
      <c r="RB25" s="381"/>
      <c r="RC25" s="381"/>
      <c r="RD25" s="381"/>
      <c r="RE25" s="381"/>
      <c r="RF25" s="381"/>
      <c r="RG25" s="381"/>
      <c r="RH25" s="381"/>
      <c r="RI25" s="381"/>
      <c r="RJ25" s="381"/>
      <c r="RK25" s="381"/>
      <c r="RL25" s="381"/>
      <c r="RM25" s="381"/>
      <c r="RN25" s="381"/>
      <c r="RO25" s="381"/>
      <c r="RP25" s="381"/>
      <c r="RQ25" s="381"/>
      <c r="RR25" s="381"/>
      <c r="RS25" s="381"/>
      <c r="RT25" s="381"/>
      <c r="RU25" s="381"/>
      <c r="RV25" s="381"/>
      <c r="RW25" s="381"/>
      <c r="RX25" s="381"/>
      <c r="RY25" s="381"/>
      <c r="RZ25" s="381"/>
      <c r="SA25" s="381"/>
      <c r="SB25" s="381"/>
      <c r="SC25" s="381"/>
      <c r="SD25" s="381"/>
      <c r="SE25" s="381"/>
      <c r="SF25" s="381"/>
      <c r="SG25" s="381"/>
      <c r="SH25" s="381"/>
      <c r="SI25" s="381"/>
      <c r="SJ25" s="381"/>
      <c r="SK25" s="381"/>
      <c r="SL25" s="381"/>
      <c r="SM25" s="381"/>
      <c r="SN25" s="381"/>
      <c r="SO25" s="381"/>
      <c r="SP25" s="381"/>
      <c r="SQ25" s="381"/>
      <c r="SR25" s="381"/>
      <c r="SS25" s="381"/>
      <c r="ST25" s="381"/>
      <c r="SU25" s="381"/>
      <c r="SV25" s="381"/>
      <c r="SW25" s="381"/>
      <c r="SX25" s="381"/>
      <c r="SY25" s="381"/>
      <c r="SZ25" s="381"/>
      <c r="TA25" s="381"/>
      <c r="TB25" s="381"/>
      <c r="TC25" s="381"/>
      <c r="TD25" s="381"/>
      <c r="TE25" s="381"/>
      <c r="TF25" s="381"/>
      <c r="TG25" s="381"/>
      <c r="TH25" s="381"/>
      <c r="TI25" s="381"/>
      <c r="TJ25" s="381"/>
      <c r="TK25" s="381"/>
      <c r="TL25" s="381"/>
      <c r="TM25" s="381"/>
      <c r="TN25" s="381"/>
      <c r="TO25" s="381"/>
      <c r="TP25" s="381"/>
      <c r="TQ25" s="381"/>
      <c r="TR25" s="381"/>
      <c r="TS25" s="381"/>
      <c r="TT25" s="381"/>
      <c r="TU25" s="381"/>
      <c r="TV25" s="381"/>
      <c r="TW25" s="381"/>
      <c r="TX25" s="381"/>
      <c r="TY25" s="381"/>
      <c r="TZ25" s="381"/>
      <c r="UA25" s="381"/>
      <c r="UB25" s="381"/>
      <c r="UC25" s="381"/>
      <c r="UD25" s="381"/>
      <c r="UE25" s="381"/>
      <c r="UF25" s="381"/>
      <c r="UG25" s="381"/>
      <c r="UH25" s="381"/>
      <c r="UI25" s="381"/>
      <c r="UJ25" s="381"/>
      <c r="UK25" s="381"/>
      <c r="UL25" s="381"/>
      <c r="UM25" s="381"/>
      <c r="UN25" s="381"/>
      <c r="UO25" s="381"/>
      <c r="UP25" s="381"/>
      <c r="UQ25" s="381"/>
      <c r="UR25" s="381"/>
      <c r="US25" s="381"/>
      <c r="UT25" s="381"/>
      <c r="UU25" s="381"/>
      <c r="UV25" s="381"/>
      <c r="UW25" s="381"/>
      <c r="UX25" s="381"/>
      <c r="UY25" s="381"/>
      <c r="UZ25" s="381"/>
      <c r="VA25" s="381"/>
      <c r="VB25" s="381"/>
      <c r="VC25" s="381"/>
      <c r="VD25" s="381"/>
      <c r="VE25" s="381"/>
      <c r="VF25" s="381"/>
      <c r="VG25" s="381"/>
      <c r="VH25" s="381"/>
      <c r="VI25" s="381"/>
      <c r="VJ25" s="381"/>
      <c r="VK25" s="381"/>
      <c r="VL25" s="381"/>
      <c r="VM25" s="381"/>
      <c r="VN25" s="381"/>
      <c r="VO25" s="381"/>
      <c r="VP25" s="381"/>
      <c r="VQ25" s="381"/>
      <c r="VR25" s="381"/>
      <c r="VS25" s="381"/>
      <c r="VT25" s="381"/>
      <c r="VU25" s="381"/>
      <c r="VV25" s="381"/>
      <c r="VW25" s="381"/>
      <c r="VX25" s="381"/>
      <c r="VY25" s="381"/>
      <c r="VZ25" s="381"/>
      <c r="WA25" s="381"/>
      <c r="WB25" s="381"/>
      <c r="WC25" s="381"/>
      <c r="WD25" s="381"/>
      <c r="WE25" s="381"/>
      <c r="WF25" s="381"/>
      <c r="WG25" s="381"/>
      <c r="WH25" s="381"/>
      <c r="WI25" s="381"/>
      <c r="WJ25" s="381"/>
      <c r="WK25" s="381"/>
      <c r="WL25" s="381"/>
      <c r="WM25" s="381"/>
      <c r="WN25" s="381"/>
      <c r="WO25" s="381"/>
      <c r="WP25" s="381"/>
      <c r="WQ25" s="381"/>
      <c r="WR25" s="381"/>
      <c r="WS25" s="381"/>
      <c r="WT25" s="381"/>
      <c r="WU25" s="381"/>
      <c r="WV25" s="381"/>
      <c r="WW25" s="381"/>
      <c r="WX25" s="381"/>
      <c r="WY25" s="381"/>
      <c r="WZ25" s="381"/>
      <c r="XA25" s="381"/>
      <c r="XB25" s="381"/>
      <c r="XC25" s="381"/>
      <c r="XD25" s="381"/>
      <c r="XE25" s="381"/>
      <c r="XF25" s="381"/>
      <c r="XG25" s="381"/>
      <c r="XH25" s="381"/>
      <c r="XI25" s="381"/>
      <c r="XJ25" s="381"/>
      <c r="XK25" s="381"/>
      <c r="XL25" s="381"/>
      <c r="XM25" s="381"/>
      <c r="XN25" s="381"/>
      <c r="XO25" s="381"/>
      <c r="XP25" s="381"/>
      <c r="XQ25" s="381"/>
      <c r="XR25" s="381"/>
      <c r="XS25" s="381"/>
      <c r="XT25" s="381"/>
      <c r="XU25" s="381"/>
      <c r="XV25" s="381"/>
      <c r="XW25" s="381"/>
      <c r="XX25" s="381"/>
      <c r="XY25" s="381"/>
      <c r="XZ25" s="381"/>
      <c r="YA25" s="381"/>
      <c r="YB25" s="381"/>
      <c r="YC25" s="381"/>
      <c r="YD25" s="381"/>
      <c r="YE25" s="381"/>
      <c r="YF25" s="381"/>
      <c r="YG25" s="381"/>
      <c r="YH25" s="381"/>
      <c r="YI25" s="381"/>
      <c r="YJ25" s="381"/>
      <c r="YK25" s="381"/>
      <c r="YL25" s="381"/>
      <c r="YM25" s="381"/>
      <c r="YN25" s="381"/>
      <c r="YO25" s="381"/>
      <c r="YP25" s="381"/>
      <c r="YQ25" s="381"/>
      <c r="YR25" s="381"/>
      <c r="YS25" s="381"/>
      <c r="YT25" s="381"/>
      <c r="YU25" s="381"/>
      <c r="YV25" s="381"/>
      <c r="YW25" s="381"/>
      <c r="YX25" s="381"/>
      <c r="YY25" s="381"/>
      <c r="YZ25" s="381"/>
      <c r="ZA25" s="381"/>
      <c r="ZB25" s="381"/>
      <c r="ZC25" s="381"/>
      <c r="ZD25" s="381"/>
      <c r="ZE25" s="381"/>
      <c r="ZF25" s="381"/>
      <c r="ZG25" s="381"/>
      <c r="ZH25" s="381"/>
      <c r="ZI25" s="381"/>
      <c r="ZJ25" s="381"/>
      <c r="ZK25" s="381"/>
      <c r="ZL25" s="381"/>
      <c r="ZM25" s="381"/>
      <c r="ZN25" s="381"/>
      <c r="ZO25" s="381"/>
      <c r="ZP25" s="381"/>
      <c r="ZQ25" s="381"/>
      <c r="ZR25" s="381"/>
      <c r="ZS25" s="381"/>
      <c r="ZT25" s="381"/>
      <c r="ZU25" s="381"/>
      <c r="ZV25" s="381"/>
      <c r="ZW25" s="381"/>
      <c r="ZX25" s="381"/>
      <c r="ZY25" s="381"/>
      <c r="ZZ25" s="381"/>
      <c r="AAA25" s="381"/>
      <c r="AAB25" s="381"/>
      <c r="AAC25" s="381"/>
      <c r="AAD25" s="381"/>
      <c r="AAE25" s="381"/>
      <c r="AAF25" s="381"/>
      <c r="AAG25" s="381"/>
      <c r="AAH25" s="381"/>
      <c r="AAI25" s="381"/>
      <c r="AAJ25" s="381"/>
      <c r="AAK25" s="381"/>
      <c r="AAL25" s="381"/>
      <c r="AAM25" s="381"/>
      <c r="AAN25" s="381"/>
      <c r="AAO25" s="381"/>
      <c r="AAP25" s="381"/>
      <c r="AAQ25" s="381"/>
      <c r="AAR25" s="381"/>
      <c r="AAS25" s="381"/>
      <c r="AAT25" s="381"/>
      <c r="AAU25" s="381"/>
      <c r="AAV25" s="381"/>
      <c r="AAW25" s="381"/>
      <c r="AAX25" s="381"/>
      <c r="AAY25" s="381"/>
      <c r="AAZ25" s="381"/>
      <c r="ABA25" s="381"/>
      <c r="ABB25" s="381"/>
      <c r="ABC25" s="381"/>
      <c r="ABD25" s="381"/>
      <c r="ABE25" s="381"/>
      <c r="ABF25" s="381"/>
      <c r="ABG25" s="381"/>
      <c r="ABH25" s="381"/>
      <c r="ABI25" s="381"/>
      <c r="ABJ25" s="381"/>
      <c r="ABK25" s="381"/>
      <c r="ABL25" s="381"/>
      <c r="ABM25" s="381"/>
      <c r="ABN25" s="381"/>
      <c r="ABO25" s="381"/>
      <c r="ABP25" s="381"/>
      <c r="ABQ25" s="381"/>
      <c r="ABR25" s="381"/>
      <c r="ABS25" s="381"/>
      <c r="ABT25" s="381"/>
      <c r="ABU25" s="381"/>
      <c r="ABV25" s="381"/>
      <c r="ABW25" s="381"/>
      <c r="ABX25" s="381"/>
      <c r="ABY25" s="381"/>
      <c r="ABZ25" s="381"/>
      <c r="ACA25" s="381"/>
      <c r="ACB25" s="381"/>
      <c r="ACC25" s="381"/>
      <c r="ACD25" s="381"/>
      <c r="ACE25" s="381"/>
      <c r="ACF25" s="381"/>
      <c r="ACG25" s="381"/>
      <c r="ACH25" s="381"/>
      <c r="ACI25" s="381"/>
      <c r="ACJ25" s="381"/>
      <c r="ACK25" s="381"/>
      <c r="ACL25" s="381"/>
      <c r="ACM25" s="381"/>
      <c r="ACN25" s="381"/>
      <c r="ACO25" s="381"/>
      <c r="ACP25" s="381"/>
      <c r="ACQ25" s="381"/>
      <c r="ACR25" s="381"/>
      <c r="ACS25" s="381"/>
      <c r="ACT25" s="381"/>
      <c r="ACU25" s="381"/>
      <c r="ACV25" s="381"/>
      <c r="ACW25" s="381"/>
      <c r="ACX25" s="381"/>
      <c r="ACY25" s="381"/>
      <c r="ACZ25" s="381"/>
      <c r="ADA25" s="381"/>
      <c r="ADB25" s="381"/>
      <c r="ADC25" s="381"/>
      <c r="ADD25" s="381"/>
      <c r="ADE25" s="381"/>
      <c r="ADF25" s="381"/>
      <c r="ADG25" s="381"/>
      <c r="ADH25" s="381"/>
      <c r="ADI25" s="381"/>
      <c r="ADJ25" s="381"/>
      <c r="ADK25" s="381"/>
      <c r="ADL25" s="381"/>
      <c r="ADM25" s="381"/>
      <c r="ADN25" s="381"/>
      <c r="ADO25" s="381"/>
      <c r="ADP25" s="381"/>
      <c r="ADQ25" s="381"/>
      <c r="ADR25" s="381"/>
      <c r="ADS25" s="381"/>
      <c r="ADT25" s="381"/>
      <c r="ADU25" s="381"/>
      <c r="ADV25" s="381"/>
      <c r="ADW25" s="381"/>
      <c r="ADX25" s="381"/>
      <c r="ADY25" s="381"/>
      <c r="ADZ25" s="381"/>
      <c r="AEA25" s="381"/>
      <c r="AEB25" s="381"/>
      <c r="AEC25" s="381"/>
      <c r="AED25" s="381"/>
      <c r="AEE25" s="381"/>
      <c r="AEF25" s="381"/>
      <c r="AEG25" s="381"/>
      <c r="AEH25" s="381"/>
      <c r="AEI25" s="381"/>
      <c r="AEJ25" s="381"/>
      <c r="AEK25" s="381"/>
      <c r="AEL25" s="381"/>
      <c r="AEM25" s="381"/>
      <c r="AEN25" s="381"/>
      <c r="AEO25" s="381"/>
      <c r="AEP25" s="381"/>
      <c r="AEQ25" s="381"/>
      <c r="AER25" s="381"/>
      <c r="AES25" s="381"/>
      <c r="AET25" s="381"/>
      <c r="AEU25" s="381"/>
      <c r="AEV25" s="381"/>
      <c r="AEW25" s="381"/>
      <c r="AEX25" s="381"/>
      <c r="AEY25" s="381"/>
      <c r="AEZ25" s="381"/>
      <c r="AFA25" s="381"/>
      <c r="AFB25" s="381"/>
      <c r="AFC25" s="381"/>
      <c r="AFD25" s="381"/>
      <c r="AFE25" s="381"/>
      <c r="AFF25" s="381"/>
      <c r="AFG25" s="381"/>
      <c r="AFH25" s="381"/>
      <c r="AFI25" s="381"/>
      <c r="AFJ25" s="381"/>
      <c r="AFK25" s="381"/>
      <c r="AFL25" s="381"/>
      <c r="AFM25" s="381"/>
      <c r="AFN25" s="381"/>
      <c r="AFO25" s="381"/>
      <c r="AFP25" s="381"/>
      <c r="AFQ25" s="381"/>
      <c r="AFR25" s="381"/>
      <c r="AFS25" s="381"/>
      <c r="AFT25" s="381"/>
      <c r="AFU25" s="381"/>
      <c r="AFV25" s="381"/>
      <c r="AFW25" s="381"/>
      <c r="AFX25" s="381"/>
      <c r="AFY25" s="381"/>
      <c r="AFZ25" s="381"/>
      <c r="AGA25" s="381"/>
      <c r="AGB25" s="381"/>
      <c r="AGC25" s="381"/>
      <c r="AGD25" s="381"/>
      <c r="AGE25" s="381"/>
      <c r="AGF25" s="381"/>
      <c r="AGG25" s="381"/>
      <c r="AGH25" s="381"/>
      <c r="AGI25" s="381"/>
      <c r="AGJ25" s="381"/>
      <c r="AGK25" s="381"/>
      <c r="AGL25" s="381"/>
      <c r="AGM25" s="381"/>
      <c r="AGN25" s="381"/>
      <c r="AGO25" s="381"/>
      <c r="AGP25" s="381"/>
      <c r="AGQ25" s="381"/>
      <c r="AGR25" s="381"/>
      <c r="AGS25" s="381"/>
      <c r="AGT25" s="381"/>
      <c r="AGU25" s="381"/>
      <c r="AGV25" s="381"/>
      <c r="AGW25" s="381"/>
      <c r="AGX25" s="381"/>
      <c r="AGY25" s="381"/>
      <c r="AGZ25" s="381"/>
      <c r="AHA25" s="381"/>
      <c r="AHB25" s="381"/>
      <c r="AHC25" s="381"/>
      <c r="AHD25" s="381"/>
      <c r="AHE25" s="381"/>
      <c r="AHF25" s="381"/>
      <c r="AHG25" s="381"/>
      <c r="AHH25" s="381"/>
      <c r="AHI25" s="381"/>
      <c r="AHJ25" s="381"/>
      <c r="AHK25" s="381"/>
      <c r="AHL25" s="381"/>
      <c r="AHM25" s="381"/>
      <c r="AHN25" s="381"/>
      <c r="AHO25" s="381"/>
      <c r="AHP25" s="381"/>
      <c r="AHQ25" s="381"/>
      <c r="AHR25" s="381"/>
      <c r="AHS25" s="381"/>
      <c r="AHT25" s="381"/>
      <c r="AHU25" s="381"/>
      <c r="AHV25" s="381"/>
      <c r="AHW25" s="381"/>
      <c r="AHX25" s="381"/>
      <c r="AHY25" s="381"/>
      <c r="AHZ25" s="381"/>
      <c r="AIA25" s="381"/>
      <c r="AIB25" s="381"/>
      <c r="AIC25" s="381"/>
      <c r="AID25" s="381"/>
      <c r="AIE25" s="381"/>
      <c r="AIF25" s="381"/>
      <c r="AIG25" s="381"/>
      <c r="AIH25" s="381"/>
      <c r="AII25" s="381"/>
      <c r="AIJ25" s="381"/>
      <c r="AIK25" s="381"/>
      <c r="AIL25" s="381"/>
      <c r="AIM25" s="381"/>
      <c r="AIN25" s="381"/>
      <c r="AIO25" s="381"/>
      <c r="AIP25" s="381"/>
      <c r="AIQ25" s="381"/>
      <c r="AIR25" s="381"/>
      <c r="AIS25" s="381"/>
      <c r="AIT25" s="381"/>
      <c r="AIU25" s="381"/>
      <c r="AIV25" s="381"/>
      <c r="AIW25" s="381"/>
      <c r="AIX25" s="381"/>
      <c r="AIY25" s="381"/>
      <c r="AIZ25" s="381"/>
      <c r="AJA25" s="381"/>
      <c r="AJB25" s="381"/>
      <c r="AJC25" s="381"/>
      <c r="AJD25" s="381"/>
      <c r="AJE25" s="381"/>
      <c r="AJF25" s="381"/>
      <c r="AJG25" s="381"/>
      <c r="AJH25" s="381"/>
      <c r="AJI25" s="381"/>
      <c r="AJJ25" s="381"/>
      <c r="AJK25" s="381"/>
      <c r="AJL25" s="381"/>
      <c r="AJM25" s="381"/>
      <c r="AJN25" s="381"/>
      <c r="AJO25" s="381"/>
      <c r="AJP25" s="381"/>
      <c r="AJQ25" s="381"/>
      <c r="AJR25" s="381"/>
      <c r="AJS25" s="381"/>
      <c r="AJT25" s="381"/>
      <c r="AJU25" s="381"/>
      <c r="AJV25" s="381"/>
      <c r="AJW25" s="381"/>
      <c r="AJX25" s="381"/>
      <c r="AJY25" s="381"/>
      <c r="AJZ25" s="381"/>
      <c r="AKA25" s="381"/>
      <c r="AKB25" s="381"/>
      <c r="AKC25" s="381"/>
      <c r="AKD25" s="381"/>
      <c r="AKE25" s="381"/>
      <c r="AKF25" s="381"/>
      <c r="AKG25" s="381"/>
      <c r="AKH25" s="381"/>
      <c r="AKI25" s="381"/>
      <c r="AKJ25" s="381"/>
      <c r="AKK25" s="381"/>
      <c r="AKL25" s="381"/>
      <c r="AKM25" s="381"/>
      <c r="AKN25" s="381"/>
      <c r="AKO25" s="381"/>
      <c r="AKP25" s="381"/>
      <c r="AKQ25" s="381"/>
      <c r="AKR25" s="381"/>
      <c r="AKS25" s="381"/>
      <c r="AKT25" s="381"/>
      <c r="AKU25" s="381"/>
      <c r="AKV25" s="381"/>
      <c r="AKW25" s="381"/>
      <c r="AKX25" s="381"/>
      <c r="AKY25" s="381"/>
      <c r="AKZ25" s="381"/>
      <c r="ALA25" s="381"/>
      <c r="ALB25" s="381"/>
      <c r="ALC25" s="381"/>
    </row>
    <row r="26" spans="1:991" s="400" customFormat="1" ht="137.25" customHeight="1" thickBot="1" x14ac:dyDescent="0.3">
      <c r="A26" s="381"/>
      <c r="B26" s="360"/>
      <c r="C26" s="361" t="e">
        <f>J26-#REF!</f>
        <v>#REF!</v>
      </c>
      <c r="D26" s="362" t="s">
        <v>471</v>
      </c>
      <c r="E26" s="382"/>
      <c r="F26" s="383"/>
      <c r="G26" s="384"/>
      <c r="H26" s="385" t="s">
        <v>112</v>
      </c>
      <c r="I26" s="386" t="s">
        <v>472</v>
      </c>
      <c r="J26" s="387">
        <v>200000</v>
      </c>
      <c r="K26" s="388">
        <v>0</v>
      </c>
      <c r="L26" s="389">
        <v>50000</v>
      </c>
      <c r="M26" s="390">
        <v>150000</v>
      </c>
      <c r="N26" s="390">
        <v>0</v>
      </c>
      <c r="O26" s="391">
        <v>0</v>
      </c>
      <c r="P26" s="389"/>
      <c r="Q26" s="390"/>
      <c r="R26" s="390"/>
      <c r="S26" s="392"/>
      <c r="T26" s="393"/>
      <c r="U26" s="389"/>
      <c r="V26" s="390"/>
      <c r="W26" s="390"/>
      <c r="X26" s="390"/>
      <c r="Y26" s="390"/>
      <c r="Z26" s="390"/>
      <c r="AA26" s="390"/>
      <c r="AB26" s="392"/>
      <c r="AC26" s="392"/>
      <c r="AD26" s="392"/>
      <c r="AE26" s="392"/>
      <c r="AF26" s="390"/>
      <c r="AG26" s="392"/>
      <c r="AH26" s="394"/>
      <c r="AI26" s="393"/>
      <c r="AJ26" s="389"/>
      <c r="AK26" s="390"/>
      <c r="AL26" s="395"/>
      <c r="AM26" s="376">
        <v>0</v>
      </c>
      <c r="AN26" s="395"/>
      <c r="AO26" s="376">
        <v>0</v>
      </c>
      <c r="AP26" s="396"/>
      <c r="AQ26" s="390"/>
      <c r="AR26" s="390"/>
      <c r="AS26" s="390">
        <v>200000</v>
      </c>
      <c r="AT26" s="392"/>
      <c r="AU26" s="392"/>
      <c r="AV26" s="390"/>
      <c r="AW26" s="392"/>
      <c r="AX26" s="393"/>
      <c r="AY26" s="389"/>
      <c r="AZ26" s="397"/>
      <c r="BA26" s="398"/>
      <c r="BB26" s="399"/>
      <c r="BC26" s="381"/>
      <c r="BD26" s="381"/>
      <c r="BE26" s="381"/>
      <c r="BF26" s="381"/>
      <c r="BG26" s="381"/>
      <c r="BH26" s="381"/>
      <c r="BI26" s="381"/>
      <c r="BJ26" s="381"/>
      <c r="BK26" s="381"/>
      <c r="BL26" s="381"/>
      <c r="BM26" s="381"/>
      <c r="BN26" s="381"/>
      <c r="BO26" s="381"/>
      <c r="BP26" s="381"/>
      <c r="BQ26" s="381"/>
      <c r="BR26" s="381"/>
      <c r="BS26" s="381"/>
      <c r="BT26" s="381"/>
      <c r="BU26" s="381"/>
      <c r="BV26" s="381"/>
      <c r="BW26" s="381"/>
      <c r="BX26" s="381"/>
      <c r="BY26" s="381"/>
      <c r="BZ26" s="381"/>
      <c r="CA26" s="381"/>
      <c r="CB26" s="381"/>
      <c r="CC26" s="381"/>
      <c r="CD26" s="381"/>
      <c r="CE26" s="381"/>
      <c r="CF26" s="381"/>
      <c r="CG26" s="381"/>
      <c r="CH26" s="381"/>
      <c r="CI26" s="381"/>
      <c r="CJ26" s="381"/>
      <c r="CK26" s="381"/>
      <c r="CL26" s="381"/>
      <c r="CM26" s="381"/>
      <c r="CN26" s="381"/>
      <c r="CO26" s="381"/>
      <c r="CP26" s="381"/>
      <c r="CQ26" s="381"/>
      <c r="CR26" s="381"/>
      <c r="CS26" s="381"/>
      <c r="CT26" s="381"/>
      <c r="CU26" s="381"/>
      <c r="CV26" s="381"/>
      <c r="CW26" s="381"/>
      <c r="CX26" s="381"/>
      <c r="CY26" s="381"/>
      <c r="CZ26" s="381"/>
      <c r="DA26" s="381"/>
      <c r="DB26" s="381"/>
      <c r="DC26" s="381"/>
      <c r="DD26" s="381"/>
      <c r="DE26" s="381"/>
      <c r="DF26" s="381"/>
      <c r="DG26" s="381"/>
      <c r="DH26" s="381"/>
      <c r="DI26" s="381"/>
      <c r="DJ26" s="381"/>
      <c r="DK26" s="381"/>
      <c r="DL26" s="381"/>
      <c r="DM26" s="381"/>
      <c r="DN26" s="381"/>
      <c r="DO26" s="381"/>
      <c r="DP26" s="381"/>
      <c r="DQ26" s="381"/>
      <c r="DR26" s="381"/>
      <c r="DS26" s="381"/>
      <c r="DT26" s="381"/>
      <c r="DU26" s="381"/>
      <c r="DV26" s="381"/>
      <c r="DW26" s="381"/>
      <c r="DX26" s="381"/>
      <c r="DY26" s="381"/>
      <c r="DZ26" s="381"/>
      <c r="EA26" s="381"/>
      <c r="EB26" s="381"/>
      <c r="EC26" s="381"/>
      <c r="ED26" s="381"/>
      <c r="EE26" s="381"/>
      <c r="EF26" s="381"/>
      <c r="EG26" s="381"/>
      <c r="EH26" s="381"/>
      <c r="EI26" s="381"/>
      <c r="EJ26" s="381"/>
      <c r="EK26" s="381"/>
      <c r="EL26" s="381"/>
      <c r="EM26" s="381"/>
      <c r="EN26" s="381"/>
      <c r="EO26" s="381"/>
      <c r="EP26" s="381"/>
      <c r="EQ26" s="381"/>
      <c r="ER26" s="381"/>
      <c r="ES26" s="381"/>
      <c r="ET26" s="381"/>
      <c r="EU26" s="381"/>
      <c r="EV26" s="381"/>
      <c r="EW26" s="381"/>
      <c r="EX26" s="381"/>
      <c r="EY26" s="381"/>
      <c r="EZ26" s="381"/>
      <c r="FA26" s="381"/>
      <c r="FB26" s="381"/>
      <c r="FC26" s="381"/>
      <c r="FD26" s="381"/>
      <c r="FE26" s="381"/>
      <c r="FF26" s="381"/>
      <c r="FG26" s="381"/>
      <c r="FH26" s="381"/>
      <c r="FI26" s="381"/>
      <c r="FJ26" s="381"/>
      <c r="FK26" s="381"/>
      <c r="FL26" s="381"/>
      <c r="FM26" s="381"/>
      <c r="FN26" s="381"/>
      <c r="FO26" s="381"/>
      <c r="FP26" s="381"/>
      <c r="FQ26" s="381"/>
      <c r="FR26" s="381"/>
      <c r="FS26" s="381"/>
      <c r="FT26" s="381"/>
      <c r="FU26" s="381"/>
      <c r="FV26" s="381"/>
      <c r="FW26" s="381"/>
      <c r="FX26" s="381"/>
      <c r="FY26" s="381"/>
      <c r="FZ26" s="381"/>
      <c r="GA26" s="381"/>
      <c r="GB26" s="381"/>
      <c r="GC26" s="381"/>
      <c r="GD26" s="381"/>
      <c r="GE26" s="381"/>
      <c r="GF26" s="381"/>
      <c r="GG26" s="381"/>
      <c r="GH26" s="381"/>
      <c r="GI26" s="381"/>
      <c r="GJ26" s="381"/>
      <c r="GK26" s="381"/>
      <c r="GL26" s="381"/>
      <c r="GM26" s="381"/>
      <c r="GN26" s="381"/>
      <c r="GO26" s="381"/>
      <c r="GP26" s="381"/>
      <c r="GQ26" s="381"/>
      <c r="GR26" s="381"/>
      <c r="GS26" s="381"/>
      <c r="GT26" s="381"/>
      <c r="GU26" s="381"/>
      <c r="GV26" s="381"/>
      <c r="GW26" s="381"/>
      <c r="GX26" s="381"/>
      <c r="GY26" s="381"/>
      <c r="GZ26" s="381"/>
      <c r="HA26" s="381"/>
      <c r="HB26" s="381"/>
      <c r="HC26" s="381"/>
      <c r="HD26" s="381"/>
      <c r="HE26" s="381"/>
      <c r="HF26" s="381"/>
      <c r="HG26" s="381"/>
      <c r="HH26" s="381"/>
      <c r="HI26" s="381"/>
      <c r="HJ26" s="381"/>
      <c r="HK26" s="381"/>
      <c r="HL26" s="381"/>
      <c r="HM26" s="381"/>
      <c r="HN26" s="381"/>
      <c r="HO26" s="381"/>
      <c r="HP26" s="381"/>
      <c r="HQ26" s="381"/>
      <c r="HR26" s="381"/>
      <c r="HS26" s="381"/>
      <c r="HT26" s="381"/>
      <c r="HU26" s="381"/>
      <c r="HV26" s="381"/>
      <c r="HW26" s="381"/>
      <c r="HX26" s="381"/>
      <c r="HY26" s="381"/>
      <c r="HZ26" s="381"/>
      <c r="IA26" s="381"/>
      <c r="IB26" s="381"/>
      <c r="IC26" s="381"/>
      <c r="ID26" s="381"/>
      <c r="IE26" s="381"/>
      <c r="IF26" s="381"/>
      <c r="IG26" s="381"/>
      <c r="IH26" s="381"/>
      <c r="II26" s="381"/>
      <c r="IJ26" s="381"/>
      <c r="IK26" s="381"/>
      <c r="IL26" s="381"/>
      <c r="IM26" s="381"/>
      <c r="IN26" s="381"/>
      <c r="IO26" s="381"/>
      <c r="IP26" s="381"/>
      <c r="IQ26" s="381"/>
      <c r="IR26" s="381"/>
      <c r="IS26" s="381"/>
      <c r="IT26" s="381"/>
      <c r="IU26" s="381"/>
      <c r="IV26" s="381"/>
      <c r="IW26" s="381"/>
      <c r="IX26" s="381"/>
      <c r="IY26" s="381"/>
      <c r="IZ26" s="381"/>
      <c r="JA26" s="381"/>
      <c r="JB26" s="381"/>
      <c r="JC26" s="381"/>
      <c r="JD26" s="381"/>
      <c r="JE26" s="381"/>
      <c r="JF26" s="381"/>
      <c r="JG26" s="381"/>
      <c r="JH26" s="381"/>
      <c r="JI26" s="381"/>
      <c r="JJ26" s="381"/>
      <c r="JK26" s="381"/>
      <c r="JL26" s="381"/>
      <c r="JM26" s="381"/>
      <c r="JN26" s="381"/>
      <c r="JO26" s="381"/>
      <c r="JP26" s="381"/>
      <c r="JQ26" s="381"/>
      <c r="JR26" s="381"/>
      <c r="JS26" s="381"/>
      <c r="JT26" s="381"/>
      <c r="JU26" s="381"/>
      <c r="JV26" s="381"/>
      <c r="JW26" s="381"/>
      <c r="JX26" s="381"/>
      <c r="JY26" s="381"/>
      <c r="JZ26" s="381"/>
      <c r="KA26" s="381"/>
      <c r="KB26" s="381"/>
      <c r="KC26" s="381"/>
      <c r="KD26" s="381"/>
      <c r="KE26" s="381"/>
      <c r="KF26" s="381"/>
      <c r="KG26" s="381"/>
      <c r="KH26" s="381"/>
      <c r="KI26" s="381"/>
      <c r="KJ26" s="381"/>
      <c r="KK26" s="381"/>
      <c r="KL26" s="381"/>
      <c r="KM26" s="381"/>
      <c r="KN26" s="381"/>
      <c r="KO26" s="381"/>
      <c r="KP26" s="381"/>
      <c r="KQ26" s="381"/>
      <c r="KR26" s="381"/>
      <c r="KS26" s="381"/>
      <c r="KT26" s="381"/>
      <c r="KU26" s="381"/>
      <c r="KV26" s="381"/>
      <c r="KW26" s="381"/>
      <c r="KX26" s="381"/>
      <c r="KY26" s="381"/>
      <c r="KZ26" s="381"/>
      <c r="LA26" s="381"/>
      <c r="LB26" s="381"/>
      <c r="LC26" s="381"/>
      <c r="LD26" s="381"/>
      <c r="LE26" s="381"/>
      <c r="LF26" s="381"/>
      <c r="LG26" s="381"/>
      <c r="LH26" s="381"/>
      <c r="LI26" s="381"/>
      <c r="LJ26" s="381"/>
      <c r="LK26" s="381"/>
      <c r="LL26" s="381"/>
      <c r="LM26" s="381"/>
      <c r="LN26" s="381"/>
      <c r="LO26" s="381"/>
      <c r="LP26" s="381"/>
      <c r="LQ26" s="381"/>
      <c r="LR26" s="381"/>
      <c r="LS26" s="381"/>
      <c r="LT26" s="381"/>
      <c r="LU26" s="381"/>
      <c r="LV26" s="381"/>
      <c r="LW26" s="381"/>
      <c r="LX26" s="381"/>
      <c r="LY26" s="381"/>
      <c r="LZ26" s="381"/>
      <c r="MA26" s="381"/>
      <c r="MB26" s="381"/>
      <c r="MC26" s="381"/>
      <c r="MD26" s="381"/>
      <c r="ME26" s="381"/>
      <c r="MF26" s="381"/>
      <c r="MG26" s="381"/>
      <c r="MH26" s="381"/>
      <c r="MI26" s="381"/>
      <c r="MJ26" s="381"/>
      <c r="MK26" s="381"/>
      <c r="ML26" s="381"/>
      <c r="MM26" s="381"/>
      <c r="MN26" s="381"/>
      <c r="MO26" s="381"/>
      <c r="MP26" s="381"/>
      <c r="MQ26" s="381"/>
      <c r="MR26" s="381"/>
      <c r="MS26" s="381"/>
      <c r="MT26" s="381"/>
      <c r="MU26" s="381"/>
      <c r="MV26" s="381"/>
      <c r="MW26" s="381"/>
      <c r="MX26" s="381"/>
      <c r="MY26" s="381"/>
      <c r="MZ26" s="381"/>
      <c r="NA26" s="381"/>
      <c r="NB26" s="381"/>
      <c r="NC26" s="381"/>
      <c r="ND26" s="381"/>
      <c r="NE26" s="381"/>
      <c r="NF26" s="381"/>
      <c r="NG26" s="381"/>
      <c r="NH26" s="381"/>
      <c r="NI26" s="381"/>
      <c r="NJ26" s="381"/>
      <c r="NK26" s="381"/>
      <c r="NL26" s="381"/>
      <c r="NM26" s="381"/>
      <c r="NN26" s="381"/>
      <c r="NO26" s="381"/>
      <c r="NP26" s="381"/>
      <c r="NQ26" s="381"/>
      <c r="NR26" s="381"/>
      <c r="NS26" s="381"/>
      <c r="NT26" s="381"/>
      <c r="NU26" s="381"/>
      <c r="NV26" s="381"/>
      <c r="NW26" s="381"/>
      <c r="NX26" s="381"/>
      <c r="NY26" s="381"/>
      <c r="NZ26" s="381"/>
      <c r="OA26" s="381"/>
      <c r="OB26" s="381"/>
      <c r="OC26" s="381"/>
      <c r="OD26" s="381"/>
      <c r="OE26" s="381"/>
      <c r="OF26" s="381"/>
      <c r="OG26" s="381"/>
      <c r="OH26" s="381"/>
      <c r="OI26" s="381"/>
      <c r="OJ26" s="381"/>
      <c r="OK26" s="381"/>
      <c r="OL26" s="381"/>
      <c r="OM26" s="381"/>
      <c r="ON26" s="381"/>
      <c r="OO26" s="381"/>
      <c r="OP26" s="381"/>
      <c r="OQ26" s="381"/>
      <c r="OR26" s="381"/>
      <c r="OS26" s="381"/>
      <c r="OT26" s="381"/>
      <c r="OU26" s="381"/>
      <c r="OV26" s="381"/>
      <c r="OW26" s="381"/>
      <c r="OX26" s="381"/>
      <c r="OY26" s="381"/>
      <c r="OZ26" s="381"/>
      <c r="PA26" s="381"/>
      <c r="PB26" s="381"/>
      <c r="PC26" s="381"/>
      <c r="PD26" s="381"/>
      <c r="PE26" s="381"/>
      <c r="PF26" s="381"/>
      <c r="PG26" s="381"/>
      <c r="PH26" s="381"/>
      <c r="PI26" s="381"/>
      <c r="PJ26" s="381"/>
      <c r="PK26" s="381"/>
      <c r="PL26" s="381"/>
      <c r="PM26" s="381"/>
      <c r="PN26" s="381"/>
      <c r="PO26" s="381"/>
      <c r="PP26" s="381"/>
      <c r="PQ26" s="381"/>
      <c r="PR26" s="381"/>
      <c r="PS26" s="381"/>
      <c r="PT26" s="381"/>
      <c r="PU26" s="381"/>
      <c r="PV26" s="381"/>
      <c r="PW26" s="381"/>
      <c r="PX26" s="381"/>
      <c r="PY26" s="381"/>
      <c r="PZ26" s="381"/>
      <c r="QA26" s="381"/>
      <c r="QB26" s="381"/>
      <c r="QC26" s="381"/>
      <c r="QD26" s="381"/>
      <c r="QE26" s="381"/>
      <c r="QF26" s="381"/>
      <c r="QG26" s="381"/>
      <c r="QH26" s="381"/>
      <c r="QI26" s="381"/>
      <c r="QJ26" s="381"/>
      <c r="QK26" s="381"/>
      <c r="QL26" s="381"/>
      <c r="QM26" s="381"/>
      <c r="QN26" s="381"/>
      <c r="QO26" s="381"/>
      <c r="QP26" s="381"/>
      <c r="QQ26" s="381"/>
      <c r="QR26" s="381"/>
      <c r="QS26" s="381"/>
      <c r="QT26" s="381"/>
      <c r="QU26" s="381"/>
      <c r="QV26" s="381"/>
      <c r="QW26" s="381"/>
      <c r="QX26" s="381"/>
      <c r="QY26" s="381"/>
      <c r="QZ26" s="381"/>
      <c r="RA26" s="381"/>
      <c r="RB26" s="381"/>
      <c r="RC26" s="381"/>
      <c r="RD26" s="381"/>
      <c r="RE26" s="381"/>
      <c r="RF26" s="381"/>
      <c r="RG26" s="381"/>
      <c r="RH26" s="381"/>
      <c r="RI26" s="381"/>
      <c r="RJ26" s="381"/>
      <c r="RK26" s="381"/>
      <c r="RL26" s="381"/>
      <c r="RM26" s="381"/>
      <c r="RN26" s="381"/>
      <c r="RO26" s="381"/>
      <c r="RP26" s="381"/>
      <c r="RQ26" s="381"/>
      <c r="RR26" s="381"/>
      <c r="RS26" s="381"/>
      <c r="RT26" s="381"/>
      <c r="RU26" s="381"/>
      <c r="RV26" s="381"/>
      <c r="RW26" s="381"/>
      <c r="RX26" s="381"/>
      <c r="RY26" s="381"/>
      <c r="RZ26" s="381"/>
      <c r="SA26" s="381"/>
      <c r="SB26" s="381"/>
      <c r="SC26" s="381"/>
      <c r="SD26" s="381"/>
      <c r="SE26" s="381"/>
      <c r="SF26" s="381"/>
      <c r="SG26" s="381"/>
      <c r="SH26" s="381"/>
      <c r="SI26" s="381"/>
      <c r="SJ26" s="381"/>
      <c r="SK26" s="381"/>
      <c r="SL26" s="381"/>
      <c r="SM26" s="381"/>
      <c r="SN26" s="381"/>
      <c r="SO26" s="381"/>
      <c r="SP26" s="381"/>
      <c r="SQ26" s="381"/>
      <c r="SR26" s="381"/>
      <c r="SS26" s="381"/>
      <c r="ST26" s="381"/>
      <c r="SU26" s="381"/>
      <c r="SV26" s="381"/>
      <c r="SW26" s="381"/>
      <c r="SX26" s="381"/>
      <c r="SY26" s="381"/>
      <c r="SZ26" s="381"/>
      <c r="TA26" s="381"/>
      <c r="TB26" s="381"/>
      <c r="TC26" s="381"/>
      <c r="TD26" s="381"/>
      <c r="TE26" s="381"/>
      <c r="TF26" s="381"/>
      <c r="TG26" s="381"/>
      <c r="TH26" s="381"/>
      <c r="TI26" s="381"/>
      <c r="TJ26" s="381"/>
      <c r="TK26" s="381"/>
      <c r="TL26" s="381"/>
      <c r="TM26" s="381"/>
      <c r="TN26" s="381"/>
      <c r="TO26" s="381"/>
      <c r="TP26" s="381"/>
      <c r="TQ26" s="381"/>
      <c r="TR26" s="381"/>
      <c r="TS26" s="381"/>
      <c r="TT26" s="381"/>
      <c r="TU26" s="381"/>
      <c r="TV26" s="381"/>
      <c r="TW26" s="381"/>
      <c r="TX26" s="381"/>
      <c r="TY26" s="381"/>
      <c r="TZ26" s="381"/>
      <c r="UA26" s="381"/>
      <c r="UB26" s="381"/>
      <c r="UC26" s="381"/>
      <c r="UD26" s="381"/>
      <c r="UE26" s="381"/>
      <c r="UF26" s="381"/>
      <c r="UG26" s="381"/>
      <c r="UH26" s="381"/>
      <c r="UI26" s="381"/>
      <c r="UJ26" s="381"/>
      <c r="UK26" s="381"/>
      <c r="UL26" s="381"/>
      <c r="UM26" s="381"/>
      <c r="UN26" s="381"/>
      <c r="UO26" s="381"/>
      <c r="UP26" s="381"/>
      <c r="UQ26" s="381"/>
      <c r="UR26" s="381"/>
      <c r="US26" s="381"/>
      <c r="UT26" s="381"/>
      <c r="UU26" s="381"/>
      <c r="UV26" s="381"/>
      <c r="UW26" s="381"/>
      <c r="UX26" s="381"/>
      <c r="UY26" s="381"/>
      <c r="UZ26" s="381"/>
      <c r="VA26" s="381"/>
      <c r="VB26" s="381"/>
      <c r="VC26" s="381"/>
      <c r="VD26" s="381"/>
      <c r="VE26" s="381"/>
      <c r="VF26" s="381"/>
      <c r="VG26" s="381"/>
      <c r="VH26" s="381"/>
      <c r="VI26" s="381"/>
      <c r="VJ26" s="381"/>
      <c r="VK26" s="381"/>
      <c r="VL26" s="381"/>
      <c r="VM26" s="381"/>
      <c r="VN26" s="381"/>
      <c r="VO26" s="381"/>
      <c r="VP26" s="381"/>
      <c r="VQ26" s="381"/>
      <c r="VR26" s="381"/>
      <c r="VS26" s="381"/>
      <c r="VT26" s="381"/>
      <c r="VU26" s="381"/>
      <c r="VV26" s="381"/>
      <c r="VW26" s="381"/>
      <c r="VX26" s="381"/>
      <c r="VY26" s="381"/>
      <c r="VZ26" s="381"/>
      <c r="WA26" s="381"/>
      <c r="WB26" s="381"/>
      <c r="WC26" s="381"/>
      <c r="WD26" s="381"/>
      <c r="WE26" s="381"/>
      <c r="WF26" s="381"/>
      <c r="WG26" s="381"/>
      <c r="WH26" s="381"/>
      <c r="WI26" s="381"/>
      <c r="WJ26" s="381"/>
      <c r="WK26" s="381"/>
      <c r="WL26" s="381"/>
      <c r="WM26" s="381"/>
      <c r="WN26" s="381"/>
      <c r="WO26" s="381"/>
      <c r="WP26" s="381"/>
      <c r="WQ26" s="381"/>
      <c r="WR26" s="381"/>
      <c r="WS26" s="381"/>
      <c r="WT26" s="381"/>
      <c r="WU26" s="381"/>
      <c r="WV26" s="381"/>
      <c r="WW26" s="381"/>
      <c r="WX26" s="381"/>
      <c r="WY26" s="381"/>
      <c r="WZ26" s="381"/>
      <c r="XA26" s="381"/>
      <c r="XB26" s="381"/>
      <c r="XC26" s="381"/>
      <c r="XD26" s="381"/>
      <c r="XE26" s="381"/>
      <c r="XF26" s="381"/>
      <c r="XG26" s="381"/>
      <c r="XH26" s="381"/>
      <c r="XI26" s="381"/>
      <c r="XJ26" s="381"/>
      <c r="XK26" s="381"/>
      <c r="XL26" s="381"/>
      <c r="XM26" s="381"/>
      <c r="XN26" s="381"/>
      <c r="XO26" s="381"/>
      <c r="XP26" s="381"/>
      <c r="XQ26" s="381"/>
      <c r="XR26" s="381"/>
      <c r="XS26" s="381"/>
      <c r="XT26" s="381"/>
      <c r="XU26" s="381"/>
      <c r="XV26" s="381"/>
      <c r="XW26" s="381"/>
      <c r="XX26" s="381"/>
      <c r="XY26" s="381"/>
      <c r="XZ26" s="381"/>
      <c r="YA26" s="381"/>
      <c r="YB26" s="381"/>
      <c r="YC26" s="381"/>
      <c r="YD26" s="381"/>
      <c r="YE26" s="381"/>
      <c r="YF26" s="381"/>
      <c r="YG26" s="381"/>
      <c r="YH26" s="381"/>
      <c r="YI26" s="381"/>
      <c r="YJ26" s="381"/>
      <c r="YK26" s="381"/>
      <c r="YL26" s="381"/>
      <c r="YM26" s="381"/>
      <c r="YN26" s="381"/>
      <c r="YO26" s="381"/>
      <c r="YP26" s="381"/>
      <c r="YQ26" s="381"/>
      <c r="YR26" s="381"/>
      <c r="YS26" s="381"/>
      <c r="YT26" s="381"/>
      <c r="YU26" s="381"/>
      <c r="YV26" s="381"/>
      <c r="YW26" s="381"/>
      <c r="YX26" s="381"/>
      <c r="YY26" s="381"/>
      <c r="YZ26" s="381"/>
      <c r="ZA26" s="381"/>
      <c r="ZB26" s="381"/>
      <c r="ZC26" s="381"/>
      <c r="ZD26" s="381"/>
      <c r="ZE26" s="381"/>
      <c r="ZF26" s="381"/>
      <c r="ZG26" s="381"/>
      <c r="ZH26" s="381"/>
      <c r="ZI26" s="381"/>
      <c r="ZJ26" s="381"/>
      <c r="ZK26" s="381"/>
      <c r="ZL26" s="381"/>
      <c r="ZM26" s="381"/>
      <c r="ZN26" s="381"/>
      <c r="ZO26" s="381"/>
      <c r="ZP26" s="381"/>
      <c r="ZQ26" s="381"/>
      <c r="ZR26" s="381"/>
      <c r="ZS26" s="381"/>
      <c r="ZT26" s="381"/>
      <c r="ZU26" s="381"/>
      <c r="ZV26" s="381"/>
      <c r="ZW26" s="381"/>
      <c r="ZX26" s="381"/>
      <c r="ZY26" s="381"/>
      <c r="ZZ26" s="381"/>
      <c r="AAA26" s="381"/>
      <c r="AAB26" s="381"/>
      <c r="AAC26" s="381"/>
      <c r="AAD26" s="381"/>
      <c r="AAE26" s="381"/>
      <c r="AAF26" s="381"/>
      <c r="AAG26" s="381"/>
      <c r="AAH26" s="381"/>
      <c r="AAI26" s="381"/>
      <c r="AAJ26" s="381"/>
      <c r="AAK26" s="381"/>
      <c r="AAL26" s="381"/>
      <c r="AAM26" s="381"/>
      <c r="AAN26" s="381"/>
      <c r="AAO26" s="381"/>
      <c r="AAP26" s="381"/>
      <c r="AAQ26" s="381"/>
      <c r="AAR26" s="381"/>
      <c r="AAS26" s="381"/>
      <c r="AAT26" s="381"/>
      <c r="AAU26" s="381"/>
      <c r="AAV26" s="381"/>
      <c r="AAW26" s="381"/>
      <c r="AAX26" s="381"/>
      <c r="AAY26" s="381"/>
      <c r="AAZ26" s="381"/>
      <c r="ABA26" s="381"/>
      <c r="ABB26" s="381"/>
      <c r="ABC26" s="381"/>
      <c r="ABD26" s="381"/>
      <c r="ABE26" s="381"/>
      <c r="ABF26" s="381"/>
      <c r="ABG26" s="381"/>
      <c r="ABH26" s="381"/>
      <c r="ABI26" s="381"/>
      <c r="ABJ26" s="381"/>
      <c r="ABK26" s="381"/>
      <c r="ABL26" s="381"/>
      <c r="ABM26" s="381"/>
      <c r="ABN26" s="381"/>
      <c r="ABO26" s="381"/>
      <c r="ABP26" s="381"/>
      <c r="ABQ26" s="381"/>
      <c r="ABR26" s="381"/>
      <c r="ABS26" s="381"/>
      <c r="ABT26" s="381"/>
      <c r="ABU26" s="381"/>
      <c r="ABV26" s="381"/>
      <c r="ABW26" s="381"/>
      <c r="ABX26" s="381"/>
      <c r="ABY26" s="381"/>
      <c r="ABZ26" s="381"/>
      <c r="ACA26" s="381"/>
      <c r="ACB26" s="381"/>
      <c r="ACC26" s="381"/>
      <c r="ACD26" s="381"/>
      <c r="ACE26" s="381"/>
      <c r="ACF26" s="381"/>
      <c r="ACG26" s="381"/>
      <c r="ACH26" s="381"/>
      <c r="ACI26" s="381"/>
      <c r="ACJ26" s="381"/>
      <c r="ACK26" s="381"/>
      <c r="ACL26" s="381"/>
      <c r="ACM26" s="381"/>
      <c r="ACN26" s="381"/>
      <c r="ACO26" s="381"/>
      <c r="ACP26" s="381"/>
      <c r="ACQ26" s="381"/>
      <c r="ACR26" s="381"/>
      <c r="ACS26" s="381"/>
      <c r="ACT26" s="381"/>
      <c r="ACU26" s="381"/>
      <c r="ACV26" s="381"/>
      <c r="ACW26" s="381"/>
      <c r="ACX26" s="381"/>
      <c r="ACY26" s="381"/>
      <c r="ACZ26" s="381"/>
      <c r="ADA26" s="381"/>
      <c r="ADB26" s="381"/>
      <c r="ADC26" s="381"/>
      <c r="ADD26" s="381"/>
      <c r="ADE26" s="381"/>
      <c r="ADF26" s="381"/>
      <c r="ADG26" s="381"/>
      <c r="ADH26" s="381"/>
      <c r="ADI26" s="381"/>
      <c r="ADJ26" s="381"/>
      <c r="ADK26" s="381"/>
      <c r="ADL26" s="381"/>
      <c r="ADM26" s="381"/>
      <c r="ADN26" s="381"/>
      <c r="ADO26" s="381"/>
      <c r="ADP26" s="381"/>
      <c r="ADQ26" s="381"/>
      <c r="ADR26" s="381"/>
      <c r="ADS26" s="381"/>
      <c r="ADT26" s="381"/>
      <c r="ADU26" s="381"/>
      <c r="ADV26" s="381"/>
      <c r="ADW26" s="381"/>
      <c r="ADX26" s="381"/>
      <c r="ADY26" s="381"/>
      <c r="ADZ26" s="381"/>
      <c r="AEA26" s="381"/>
      <c r="AEB26" s="381"/>
      <c r="AEC26" s="381"/>
      <c r="AED26" s="381"/>
      <c r="AEE26" s="381"/>
      <c r="AEF26" s="381"/>
      <c r="AEG26" s="381"/>
      <c r="AEH26" s="381"/>
      <c r="AEI26" s="381"/>
      <c r="AEJ26" s="381"/>
      <c r="AEK26" s="381"/>
      <c r="AEL26" s="381"/>
      <c r="AEM26" s="381"/>
      <c r="AEN26" s="381"/>
      <c r="AEO26" s="381"/>
      <c r="AEP26" s="381"/>
      <c r="AEQ26" s="381"/>
      <c r="AER26" s="381"/>
      <c r="AES26" s="381"/>
      <c r="AET26" s="381"/>
      <c r="AEU26" s="381"/>
      <c r="AEV26" s="381"/>
      <c r="AEW26" s="381"/>
      <c r="AEX26" s="381"/>
      <c r="AEY26" s="381"/>
      <c r="AEZ26" s="381"/>
      <c r="AFA26" s="381"/>
      <c r="AFB26" s="381"/>
      <c r="AFC26" s="381"/>
      <c r="AFD26" s="381"/>
      <c r="AFE26" s="381"/>
      <c r="AFF26" s="381"/>
      <c r="AFG26" s="381"/>
      <c r="AFH26" s="381"/>
      <c r="AFI26" s="381"/>
      <c r="AFJ26" s="381"/>
      <c r="AFK26" s="381"/>
      <c r="AFL26" s="381"/>
      <c r="AFM26" s="381"/>
      <c r="AFN26" s="381"/>
      <c r="AFO26" s="381"/>
      <c r="AFP26" s="381"/>
      <c r="AFQ26" s="381"/>
      <c r="AFR26" s="381"/>
      <c r="AFS26" s="381"/>
      <c r="AFT26" s="381"/>
      <c r="AFU26" s="381"/>
      <c r="AFV26" s="381"/>
      <c r="AFW26" s="381"/>
      <c r="AFX26" s="381"/>
      <c r="AFY26" s="381"/>
      <c r="AFZ26" s="381"/>
      <c r="AGA26" s="381"/>
      <c r="AGB26" s="381"/>
      <c r="AGC26" s="381"/>
      <c r="AGD26" s="381"/>
      <c r="AGE26" s="381"/>
      <c r="AGF26" s="381"/>
      <c r="AGG26" s="381"/>
      <c r="AGH26" s="381"/>
      <c r="AGI26" s="381"/>
      <c r="AGJ26" s="381"/>
      <c r="AGK26" s="381"/>
      <c r="AGL26" s="381"/>
      <c r="AGM26" s="381"/>
      <c r="AGN26" s="381"/>
      <c r="AGO26" s="381"/>
      <c r="AGP26" s="381"/>
      <c r="AGQ26" s="381"/>
      <c r="AGR26" s="381"/>
      <c r="AGS26" s="381"/>
      <c r="AGT26" s="381"/>
      <c r="AGU26" s="381"/>
      <c r="AGV26" s="381"/>
      <c r="AGW26" s="381"/>
      <c r="AGX26" s="381"/>
      <c r="AGY26" s="381"/>
      <c r="AGZ26" s="381"/>
      <c r="AHA26" s="381"/>
      <c r="AHB26" s="381"/>
      <c r="AHC26" s="381"/>
      <c r="AHD26" s="381"/>
      <c r="AHE26" s="381"/>
      <c r="AHF26" s="381"/>
      <c r="AHG26" s="381"/>
      <c r="AHH26" s="381"/>
      <c r="AHI26" s="381"/>
      <c r="AHJ26" s="381"/>
      <c r="AHK26" s="381"/>
      <c r="AHL26" s="381"/>
      <c r="AHM26" s="381"/>
      <c r="AHN26" s="381"/>
      <c r="AHO26" s="381"/>
      <c r="AHP26" s="381"/>
      <c r="AHQ26" s="381"/>
      <c r="AHR26" s="381"/>
      <c r="AHS26" s="381"/>
      <c r="AHT26" s="381"/>
      <c r="AHU26" s="381"/>
      <c r="AHV26" s="381"/>
      <c r="AHW26" s="381"/>
      <c r="AHX26" s="381"/>
      <c r="AHY26" s="381"/>
      <c r="AHZ26" s="381"/>
      <c r="AIA26" s="381"/>
      <c r="AIB26" s="381"/>
      <c r="AIC26" s="381"/>
      <c r="AID26" s="381"/>
      <c r="AIE26" s="381"/>
      <c r="AIF26" s="381"/>
      <c r="AIG26" s="381"/>
      <c r="AIH26" s="381"/>
      <c r="AII26" s="381"/>
      <c r="AIJ26" s="381"/>
      <c r="AIK26" s="381"/>
      <c r="AIL26" s="381"/>
      <c r="AIM26" s="381"/>
      <c r="AIN26" s="381"/>
      <c r="AIO26" s="381"/>
      <c r="AIP26" s="381"/>
      <c r="AIQ26" s="381"/>
      <c r="AIR26" s="381"/>
      <c r="AIS26" s="381"/>
      <c r="AIT26" s="381"/>
      <c r="AIU26" s="381"/>
      <c r="AIV26" s="381"/>
      <c r="AIW26" s="381"/>
      <c r="AIX26" s="381"/>
      <c r="AIY26" s="381"/>
      <c r="AIZ26" s="381"/>
      <c r="AJA26" s="381"/>
      <c r="AJB26" s="381"/>
      <c r="AJC26" s="381"/>
      <c r="AJD26" s="381"/>
      <c r="AJE26" s="381"/>
      <c r="AJF26" s="381"/>
      <c r="AJG26" s="381"/>
      <c r="AJH26" s="381"/>
      <c r="AJI26" s="381"/>
      <c r="AJJ26" s="381"/>
      <c r="AJK26" s="381"/>
      <c r="AJL26" s="381"/>
      <c r="AJM26" s="381"/>
      <c r="AJN26" s="381"/>
      <c r="AJO26" s="381"/>
      <c r="AJP26" s="381"/>
      <c r="AJQ26" s="381"/>
      <c r="AJR26" s="381"/>
      <c r="AJS26" s="381"/>
      <c r="AJT26" s="381"/>
      <c r="AJU26" s="381"/>
      <c r="AJV26" s="381"/>
      <c r="AJW26" s="381"/>
      <c r="AJX26" s="381"/>
      <c r="AJY26" s="381"/>
      <c r="AJZ26" s="381"/>
      <c r="AKA26" s="381"/>
      <c r="AKB26" s="381"/>
      <c r="AKC26" s="381"/>
      <c r="AKD26" s="381"/>
      <c r="AKE26" s="381"/>
      <c r="AKF26" s="381"/>
      <c r="AKG26" s="381"/>
      <c r="AKH26" s="381"/>
      <c r="AKI26" s="381"/>
      <c r="AKJ26" s="381"/>
      <c r="AKK26" s="381"/>
      <c r="AKL26" s="381"/>
      <c r="AKM26" s="381"/>
      <c r="AKN26" s="381"/>
      <c r="AKO26" s="381"/>
      <c r="AKP26" s="381"/>
      <c r="AKQ26" s="381"/>
      <c r="AKR26" s="381"/>
      <c r="AKS26" s="381"/>
      <c r="AKT26" s="381"/>
      <c r="AKU26" s="381"/>
      <c r="AKV26" s="381"/>
      <c r="AKW26" s="381"/>
      <c r="AKX26" s="381"/>
      <c r="AKY26" s="381"/>
      <c r="AKZ26" s="381"/>
      <c r="ALA26" s="381"/>
      <c r="ALB26" s="381"/>
      <c r="ALC26" s="381"/>
    </row>
    <row r="27" spans="1:991" s="400" customFormat="1" ht="150" customHeight="1" thickBot="1" x14ac:dyDescent="0.3">
      <c r="A27" s="381"/>
      <c r="B27" s="360"/>
      <c r="C27" s="361" t="e">
        <f>J27-#REF!</f>
        <v>#REF!</v>
      </c>
      <c r="D27" s="362" t="s">
        <v>473</v>
      </c>
      <c r="E27" s="382"/>
      <c r="F27" s="383"/>
      <c r="G27" s="384"/>
      <c r="H27" s="385" t="s">
        <v>112</v>
      </c>
      <c r="I27" s="386" t="s">
        <v>474</v>
      </c>
      <c r="J27" s="387">
        <v>450000</v>
      </c>
      <c r="K27" s="388">
        <v>0</v>
      </c>
      <c r="L27" s="389">
        <v>400000</v>
      </c>
      <c r="M27" s="390">
        <v>50000</v>
      </c>
      <c r="N27" s="390">
        <v>0</v>
      </c>
      <c r="O27" s="391">
        <v>0</v>
      </c>
      <c r="P27" s="389"/>
      <c r="Q27" s="390"/>
      <c r="R27" s="390"/>
      <c r="S27" s="392"/>
      <c r="T27" s="393"/>
      <c r="U27" s="389"/>
      <c r="V27" s="390"/>
      <c r="W27" s="390"/>
      <c r="X27" s="390"/>
      <c r="Y27" s="390"/>
      <c r="Z27" s="390"/>
      <c r="AA27" s="390"/>
      <c r="AB27" s="392"/>
      <c r="AC27" s="392"/>
      <c r="AD27" s="392"/>
      <c r="AE27" s="392"/>
      <c r="AF27" s="390"/>
      <c r="AG27" s="392"/>
      <c r="AH27" s="394"/>
      <c r="AI27" s="393"/>
      <c r="AJ27" s="389"/>
      <c r="AK27" s="390"/>
      <c r="AL27" s="395"/>
      <c r="AM27" s="376">
        <v>0</v>
      </c>
      <c r="AN27" s="395">
        <v>400000</v>
      </c>
      <c r="AO27" s="376">
        <v>50000</v>
      </c>
      <c r="AP27" s="396"/>
      <c r="AQ27" s="390">
        <v>350000</v>
      </c>
      <c r="AR27" s="390"/>
      <c r="AS27" s="390">
        <v>0</v>
      </c>
      <c r="AT27" s="392"/>
      <c r="AU27" s="392"/>
      <c r="AV27" s="390"/>
      <c r="AW27" s="392"/>
      <c r="AX27" s="393"/>
      <c r="AY27" s="389">
        <v>0</v>
      </c>
      <c r="AZ27" s="397"/>
      <c r="BA27" s="398"/>
      <c r="BB27" s="399" t="s">
        <v>475</v>
      </c>
      <c r="BC27" s="381"/>
      <c r="BD27" s="381"/>
      <c r="BE27" s="381"/>
      <c r="BF27" s="381"/>
      <c r="BG27" s="381"/>
      <c r="BH27" s="381"/>
      <c r="BI27" s="381"/>
      <c r="BJ27" s="381"/>
      <c r="BK27" s="381"/>
      <c r="BL27" s="381"/>
      <c r="BM27" s="381"/>
      <c r="BN27" s="381"/>
      <c r="BO27" s="381"/>
      <c r="BP27" s="381"/>
      <c r="BQ27" s="381"/>
      <c r="BR27" s="381"/>
      <c r="BS27" s="381"/>
      <c r="BT27" s="381"/>
      <c r="BU27" s="381"/>
      <c r="BV27" s="381"/>
      <c r="BW27" s="381"/>
      <c r="BX27" s="381"/>
      <c r="BY27" s="381"/>
      <c r="BZ27" s="381"/>
      <c r="CA27" s="381"/>
      <c r="CB27" s="381"/>
      <c r="CC27" s="381"/>
      <c r="CD27" s="381"/>
      <c r="CE27" s="381"/>
      <c r="CF27" s="381"/>
      <c r="CG27" s="381"/>
      <c r="CH27" s="381"/>
      <c r="CI27" s="381"/>
      <c r="CJ27" s="381"/>
      <c r="CK27" s="381"/>
      <c r="CL27" s="381"/>
      <c r="CM27" s="381"/>
      <c r="CN27" s="381"/>
      <c r="CO27" s="381"/>
      <c r="CP27" s="381"/>
      <c r="CQ27" s="381"/>
      <c r="CR27" s="381"/>
      <c r="CS27" s="381"/>
      <c r="CT27" s="381"/>
      <c r="CU27" s="381"/>
      <c r="CV27" s="381"/>
      <c r="CW27" s="381"/>
      <c r="CX27" s="381"/>
      <c r="CY27" s="381"/>
      <c r="CZ27" s="381"/>
      <c r="DA27" s="381"/>
      <c r="DB27" s="381"/>
      <c r="DC27" s="381"/>
      <c r="DD27" s="381"/>
      <c r="DE27" s="381"/>
      <c r="DF27" s="381"/>
      <c r="DG27" s="381"/>
      <c r="DH27" s="381"/>
      <c r="DI27" s="381"/>
      <c r="DJ27" s="381"/>
      <c r="DK27" s="381"/>
      <c r="DL27" s="381"/>
      <c r="DM27" s="381"/>
      <c r="DN27" s="381"/>
      <c r="DO27" s="381"/>
      <c r="DP27" s="381"/>
      <c r="DQ27" s="381"/>
      <c r="DR27" s="381"/>
      <c r="DS27" s="381"/>
      <c r="DT27" s="381"/>
      <c r="DU27" s="381"/>
      <c r="DV27" s="381"/>
      <c r="DW27" s="381"/>
      <c r="DX27" s="381"/>
      <c r="DY27" s="381"/>
      <c r="DZ27" s="381"/>
      <c r="EA27" s="381"/>
      <c r="EB27" s="381"/>
      <c r="EC27" s="381"/>
      <c r="ED27" s="381"/>
      <c r="EE27" s="381"/>
      <c r="EF27" s="381"/>
      <c r="EG27" s="381"/>
      <c r="EH27" s="381"/>
      <c r="EI27" s="381"/>
      <c r="EJ27" s="381"/>
      <c r="EK27" s="381"/>
      <c r="EL27" s="381"/>
      <c r="EM27" s="381"/>
      <c r="EN27" s="381"/>
      <c r="EO27" s="381"/>
      <c r="EP27" s="381"/>
      <c r="EQ27" s="381"/>
      <c r="ER27" s="381"/>
      <c r="ES27" s="381"/>
      <c r="ET27" s="381"/>
      <c r="EU27" s="381"/>
      <c r="EV27" s="381"/>
      <c r="EW27" s="381"/>
      <c r="EX27" s="381"/>
      <c r="EY27" s="381"/>
      <c r="EZ27" s="381"/>
      <c r="FA27" s="381"/>
      <c r="FB27" s="381"/>
      <c r="FC27" s="381"/>
      <c r="FD27" s="381"/>
      <c r="FE27" s="381"/>
      <c r="FF27" s="381"/>
      <c r="FG27" s="381"/>
      <c r="FH27" s="381"/>
      <c r="FI27" s="381"/>
      <c r="FJ27" s="381"/>
      <c r="FK27" s="381"/>
      <c r="FL27" s="381"/>
      <c r="FM27" s="381"/>
      <c r="FN27" s="381"/>
      <c r="FO27" s="381"/>
      <c r="FP27" s="381"/>
      <c r="FQ27" s="381"/>
      <c r="FR27" s="381"/>
      <c r="FS27" s="381"/>
      <c r="FT27" s="381"/>
      <c r="FU27" s="381"/>
      <c r="FV27" s="381"/>
      <c r="FW27" s="381"/>
      <c r="FX27" s="381"/>
      <c r="FY27" s="381"/>
      <c r="FZ27" s="381"/>
      <c r="GA27" s="381"/>
      <c r="GB27" s="381"/>
      <c r="GC27" s="381"/>
      <c r="GD27" s="381"/>
      <c r="GE27" s="381"/>
      <c r="GF27" s="381"/>
      <c r="GG27" s="381"/>
      <c r="GH27" s="381"/>
      <c r="GI27" s="381"/>
      <c r="GJ27" s="381"/>
      <c r="GK27" s="381"/>
      <c r="GL27" s="381"/>
      <c r="GM27" s="381"/>
      <c r="GN27" s="381"/>
      <c r="GO27" s="381"/>
      <c r="GP27" s="381"/>
      <c r="GQ27" s="381"/>
      <c r="GR27" s="381"/>
      <c r="GS27" s="381"/>
      <c r="GT27" s="381"/>
      <c r="GU27" s="381"/>
      <c r="GV27" s="381"/>
      <c r="GW27" s="381"/>
      <c r="GX27" s="381"/>
      <c r="GY27" s="381"/>
      <c r="GZ27" s="381"/>
      <c r="HA27" s="381"/>
      <c r="HB27" s="381"/>
      <c r="HC27" s="381"/>
      <c r="HD27" s="381"/>
      <c r="HE27" s="381"/>
      <c r="HF27" s="381"/>
      <c r="HG27" s="381"/>
      <c r="HH27" s="381"/>
      <c r="HI27" s="381"/>
      <c r="HJ27" s="381"/>
      <c r="HK27" s="381"/>
      <c r="HL27" s="381"/>
      <c r="HM27" s="381"/>
      <c r="HN27" s="381"/>
      <c r="HO27" s="381"/>
      <c r="HP27" s="381"/>
      <c r="HQ27" s="381"/>
      <c r="HR27" s="381"/>
      <c r="HS27" s="381"/>
      <c r="HT27" s="381"/>
      <c r="HU27" s="381"/>
      <c r="HV27" s="381"/>
      <c r="HW27" s="381"/>
      <c r="HX27" s="381"/>
      <c r="HY27" s="381"/>
      <c r="HZ27" s="381"/>
      <c r="IA27" s="381"/>
      <c r="IB27" s="381"/>
      <c r="IC27" s="381"/>
      <c r="ID27" s="381"/>
      <c r="IE27" s="381"/>
      <c r="IF27" s="381"/>
      <c r="IG27" s="381"/>
      <c r="IH27" s="381"/>
      <c r="II27" s="381"/>
      <c r="IJ27" s="381"/>
      <c r="IK27" s="381"/>
      <c r="IL27" s="381"/>
      <c r="IM27" s="381"/>
      <c r="IN27" s="381"/>
      <c r="IO27" s="381"/>
      <c r="IP27" s="381"/>
      <c r="IQ27" s="381"/>
      <c r="IR27" s="381"/>
      <c r="IS27" s="381"/>
      <c r="IT27" s="381"/>
      <c r="IU27" s="381"/>
      <c r="IV27" s="381"/>
      <c r="IW27" s="381"/>
      <c r="IX27" s="381"/>
      <c r="IY27" s="381"/>
      <c r="IZ27" s="381"/>
      <c r="JA27" s="381"/>
      <c r="JB27" s="381"/>
      <c r="JC27" s="381"/>
      <c r="JD27" s="381"/>
      <c r="JE27" s="381"/>
      <c r="JF27" s="381"/>
      <c r="JG27" s="381"/>
      <c r="JH27" s="381"/>
      <c r="JI27" s="381"/>
      <c r="JJ27" s="381"/>
      <c r="JK27" s="381"/>
      <c r="JL27" s="381"/>
      <c r="JM27" s="381"/>
      <c r="JN27" s="381"/>
      <c r="JO27" s="381"/>
      <c r="JP27" s="381"/>
      <c r="JQ27" s="381"/>
      <c r="JR27" s="381"/>
      <c r="JS27" s="381"/>
      <c r="JT27" s="381"/>
      <c r="JU27" s="381"/>
      <c r="JV27" s="381"/>
      <c r="JW27" s="381"/>
      <c r="JX27" s="381"/>
      <c r="JY27" s="381"/>
      <c r="JZ27" s="381"/>
      <c r="KA27" s="381"/>
      <c r="KB27" s="381"/>
      <c r="KC27" s="381"/>
      <c r="KD27" s="381"/>
      <c r="KE27" s="381"/>
      <c r="KF27" s="381"/>
      <c r="KG27" s="381"/>
      <c r="KH27" s="381"/>
      <c r="KI27" s="381"/>
      <c r="KJ27" s="381"/>
      <c r="KK27" s="381"/>
      <c r="KL27" s="381"/>
      <c r="KM27" s="381"/>
      <c r="KN27" s="381"/>
      <c r="KO27" s="381"/>
      <c r="KP27" s="381"/>
      <c r="KQ27" s="381"/>
      <c r="KR27" s="381"/>
      <c r="KS27" s="381"/>
      <c r="KT27" s="381"/>
      <c r="KU27" s="381"/>
      <c r="KV27" s="381"/>
      <c r="KW27" s="381"/>
      <c r="KX27" s="381"/>
      <c r="KY27" s="381"/>
      <c r="KZ27" s="381"/>
      <c r="LA27" s="381"/>
      <c r="LB27" s="381"/>
      <c r="LC27" s="381"/>
      <c r="LD27" s="381"/>
      <c r="LE27" s="381"/>
      <c r="LF27" s="381"/>
      <c r="LG27" s="381"/>
      <c r="LH27" s="381"/>
      <c r="LI27" s="381"/>
      <c r="LJ27" s="381"/>
      <c r="LK27" s="381"/>
      <c r="LL27" s="381"/>
      <c r="LM27" s="381"/>
      <c r="LN27" s="381"/>
      <c r="LO27" s="381"/>
      <c r="LP27" s="381"/>
      <c r="LQ27" s="381"/>
      <c r="LR27" s="381"/>
      <c r="LS27" s="381"/>
      <c r="LT27" s="381"/>
      <c r="LU27" s="381"/>
      <c r="LV27" s="381"/>
      <c r="LW27" s="381"/>
      <c r="LX27" s="381"/>
      <c r="LY27" s="381"/>
      <c r="LZ27" s="381"/>
      <c r="MA27" s="381"/>
      <c r="MB27" s="381"/>
      <c r="MC27" s="381"/>
      <c r="MD27" s="381"/>
      <c r="ME27" s="381"/>
      <c r="MF27" s="381"/>
      <c r="MG27" s="381"/>
      <c r="MH27" s="381"/>
      <c r="MI27" s="381"/>
      <c r="MJ27" s="381"/>
      <c r="MK27" s="381"/>
      <c r="ML27" s="381"/>
      <c r="MM27" s="381"/>
      <c r="MN27" s="381"/>
      <c r="MO27" s="381"/>
      <c r="MP27" s="381"/>
      <c r="MQ27" s="381"/>
      <c r="MR27" s="381"/>
      <c r="MS27" s="381"/>
      <c r="MT27" s="381"/>
      <c r="MU27" s="381"/>
      <c r="MV27" s="381"/>
      <c r="MW27" s="381"/>
      <c r="MX27" s="381"/>
      <c r="MY27" s="381"/>
      <c r="MZ27" s="381"/>
      <c r="NA27" s="381"/>
      <c r="NB27" s="381"/>
      <c r="NC27" s="381"/>
      <c r="ND27" s="381"/>
      <c r="NE27" s="381"/>
      <c r="NF27" s="381"/>
      <c r="NG27" s="381"/>
      <c r="NH27" s="381"/>
      <c r="NI27" s="381"/>
      <c r="NJ27" s="381"/>
      <c r="NK27" s="381"/>
      <c r="NL27" s="381"/>
      <c r="NM27" s="381"/>
      <c r="NN27" s="381"/>
      <c r="NO27" s="381"/>
      <c r="NP27" s="381"/>
      <c r="NQ27" s="381"/>
      <c r="NR27" s="381"/>
      <c r="NS27" s="381"/>
      <c r="NT27" s="381"/>
      <c r="NU27" s="381"/>
      <c r="NV27" s="381"/>
      <c r="NW27" s="381"/>
      <c r="NX27" s="381"/>
      <c r="NY27" s="381"/>
      <c r="NZ27" s="381"/>
      <c r="OA27" s="381"/>
      <c r="OB27" s="381"/>
      <c r="OC27" s="381"/>
      <c r="OD27" s="381"/>
      <c r="OE27" s="381"/>
      <c r="OF27" s="381"/>
      <c r="OG27" s="381"/>
      <c r="OH27" s="381"/>
      <c r="OI27" s="381"/>
      <c r="OJ27" s="381"/>
      <c r="OK27" s="381"/>
      <c r="OL27" s="381"/>
      <c r="OM27" s="381"/>
      <c r="ON27" s="381"/>
      <c r="OO27" s="381"/>
      <c r="OP27" s="381"/>
      <c r="OQ27" s="381"/>
      <c r="OR27" s="381"/>
      <c r="OS27" s="381"/>
      <c r="OT27" s="381"/>
      <c r="OU27" s="381"/>
      <c r="OV27" s="381"/>
      <c r="OW27" s="381"/>
      <c r="OX27" s="381"/>
      <c r="OY27" s="381"/>
      <c r="OZ27" s="381"/>
      <c r="PA27" s="381"/>
      <c r="PB27" s="381"/>
      <c r="PC27" s="381"/>
      <c r="PD27" s="381"/>
      <c r="PE27" s="381"/>
      <c r="PF27" s="381"/>
      <c r="PG27" s="381"/>
      <c r="PH27" s="381"/>
      <c r="PI27" s="381"/>
      <c r="PJ27" s="381"/>
      <c r="PK27" s="381"/>
      <c r="PL27" s="381"/>
      <c r="PM27" s="381"/>
      <c r="PN27" s="381"/>
      <c r="PO27" s="381"/>
      <c r="PP27" s="381"/>
      <c r="PQ27" s="381"/>
      <c r="PR27" s="381"/>
      <c r="PS27" s="381"/>
      <c r="PT27" s="381"/>
      <c r="PU27" s="381"/>
      <c r="PV27" s="381"/>
      <c r="PW27" s="381"/>
      <c r="PX27" s="381"/>
      <c r="PY27" s="381"/>
      <c r="PZ27" s="381"/>
      <c r="QA27" s="381"/>
      <c r="QB27" s="381"/>
      <c r="QC27" s="381"/>
      <c r="QD27" s="381"/>
      <c r="QE27" s="381"/>
      <c r="QF27" s="381"/>
      <c r="QG27" s="381"/>
      <c r="QH27" s="381"/>
      <c r="QI27" s="381"/>
      <c r="QJ27" s="381"/>
      <c r="QK27" s="381"/>
      <c r="QL27" s="381"/>
      <c r="QM27" s="381"/>
      <c r="QN27" s="381"/>
      <c r="QO27" s="381"/>
      <c r="QP27" s="381"/>
      <c r="QQ27" s="381"/>
      <c r="QR27" s="381"/>
      <c r="QS27" s="381"/>
      <c r="QT27" s="381"/>
      <c r="QU27" s="381"/>
      <c r="QV27" s="381"/>
      <c r="QW27" s="381"/>
      <c r="QX27" s="381"/>
      <c r="QY27" s="381"/>
      <c r="QZ27" s="381"/>
      <c r="RA27" s="381"/>
      <c r="RB27" s="381"/>
      <c r="RC27" s="381"/>
      <c r="RD27" s="381"/>
      <c r="RE27" s="381"/>
      <c r="RF27" s="381"/>
      <c r="RG27" s="381"/>
      <c r="RH27" s="381"/>
      <c r="RI27" s="381"/>
      <c r="RJ27" s="381"/>
      <c r="RK27" s="381"/>
      <c r="RL27" s="381"/>
      <c r="RM27" s="381"/>
      <c r="RN27" s="381"/>
      <c r="RO27" s="381"/>
      <c r="RP27" s="381"/>
      <c r="RQ27" s="381"/>
      <c r="RR27" s="381"/>
      <c r="RS27" s="381"/>
      <c r="RT27" s="381"/>
      <c r="RU27" s="381"/>
      <c r="RV27" s="381"/>
      <c r="RW27" s="381"/>
      <c r="RX27" s="381"/>
      <c r="RY27" s="381"/>
      <c r="RZ27" s="381"/>
      <c r="SA27" s="381"/>
      <c r="SB27" s="381"/>
      <c r="SC27" s="381"/>
      <c r="SD27" s="381"/>
      <c r="SE27" s="381"/>
      <c r="SF27" s="381"/>
      <c r="SG27" s="381"/>
      <c r="SH27" s="381"/>
      <c r="SI27" s="381"/>
      <c r="SJ27" s="381"/>
      <c r="SK27" s="381"/>
      <c r="SL27" s="381"/>
      <c r="SM27" s="381"/>
      <c r="SN27" s="381"/>
      <c r="SO27" s="381"/>
      <c r="SP27" s="381"/>
      <c r="SQ27" s="381"/>
      <c r="SR27" s="381"/>
      <c r="SS27" s="381"/>
      <c r="ST27" s="381"/>
      <c r="SU27" s="381"/>
      <c r="SV27" s="381"/>
      <c r="SW27" s="381"/>
      <c r="SX27" s="381"/>
      <c r="SY27" s="381"/>
      <c r="SZ27" s="381"/>
      <c r="TA27" s="381"/>
      <c r="TB27" s="381"/>
      <c r="TC27" s="381"/>
      <c r="TD27" s="381"/>
      <c r="TE27" s="381"/>
      <c r="TF27" s="381"/>
      <c r="TG27" s="381"/>
      <c r="TH27" s="381"/>
      <c r="TI27" s="381"/>
      <c r="TJ27" s="381"/>
      <c r="TK27" s="381"/>
      <c r="TL27" s="381"/>
      <c r="TM27" s="381"/>
      <c r="TN27" s="381"/>
      <c r="TO27" s="381"/>
      <c r="TP27" s="381"/>
      <c r="TQ27" s="381"/>
      <c r="TR27" s="381"/>
      <c r="TS27" s="381"/>
      <c r="TT27" s="381"/>
      <c r="TU27" s="381"/>
      <c r="TV27" s="381"/>
      <c r="TW27" s="381"/>
      <c r="TX27" s="381"/>
      <c r="TY27" s="381"/>
      <c r="TZ27" s="381"/>
      <c r="UA27" s="381"/>
      <c r="UB27" s="381"/>
      <c r="UC27" s="381"/>
      <c r="UD27" s="381"/>
      <c r="UE27" s="381"/>
      <c r="UF27" s="381"/>
      <c r="UG27" s="381"/>
      <c r="UH27" s="381"/>
      <c r="UI27" s="381"/>
      <c r="UJ27" s="381"/>
      <c r="UK27" s="381"/>
      <c r="UL27" s="381"/>
      <c r="UM27" s="381"/>
      <c r="UN27" s="381"/>
      <c r="UO27" s="381"/>
      <c r="UP27" s="381"/>
      <c r="UQ27" s="381"/>
      <c r="UR27" s="381"/>
      <c r="US27" s="381"/>
      <c r="UT27" s="381"/>
      <c r="UU27" s="381"/>
      <c r="UV27" s="381"/>
      <c r="UW27" s="381"/>
      <c r="UX27" s="381"/>
      <c r="UY27" s="381"/>
      <c r="UZ27" s="381"/>
      <c r="VA27" s="381"/>
      <c r="VB27" s="381"/>
      <c r="VC27" s="381"/>
      <c r="VD27" s="381"/>
      <c r="VE27" s="381"/>
      <c r="VF27" s="381"/>
      <c r="VG27" s="381"/>
      <c r="VH27" s="381"/>
      <c r="VI27" s="381"/>
      <c r="VJ27" s="381"/>
      <c r="VK27" s="381"/>
      <c r="VL27" s="381"/>
      <c r="VM27" s="381"/>
      <c r="VN27" s="381"/>
      <c r="VO27" s="381"/>
      <c r="VP27" s="381"/>
      <c r="VQ27" s="381"/>
      <c r="VR27" s="381"/>
      <c r="VS27" s="381"/>
      <c r="VT27" s="381"/>
      <c r="VU27" s="381"/>
      <c r="VV27" s="381"/>
      <c r="VW27" s="381"/>
      <c r="VX27" s="381"/>
      <c r="VY27" s="381"/>
      <c r="VZ27" s="381"/>
      <c r="WA27" s="381"/>
      <c r="WB27" s="381"/>
      <c r="WC27" s="381"/>
      <c r="WD27" s="381"/>
      <c r="WE27" s="381"/>
      <c r="WF27" s="381"/>
      <c r="WG27" s="381"/>
      <c r="WH27" s="381"/>
      <c r="WI27" s="381"/>
      <c r="WJ27" s="381"/>
      <c r="WK27" s="381"/>
      <c r="WL27" s="381"/>
      <c r="WM27" s="381"/>
      <c r="WN27" s="381"/>
      <c r="WO27" s="381"/>
      <c r="WP27" s="381"/>
      <c r="WQ27" s="381"/>
      <c r="WR27" s="381"/>
      <c r="WS27" s="381"/>
      <c r="WT27" s="381"/>
      <c r="WU27" s="381"/>
      <c r="WV27" s="381"/>
      <c r="WW27" s="381"/>
      <c r="WX27" s="381"/>
      <c r="WY27" s="381"/>
      <c r="WZ27" s="381"/>
      <c r="XA27" s="381"/>
      <c r="XB27" s="381"/>
      <c r="XC27" s="381"/>
      <c r="XD27" s="381"/>
      <c r="XE27" s="381"/>
      <c r="XF27" s="381"/>
      <c r="XG27" s="381"/>
      <c r="XH27" s="381"/>
      <c r="XI27" s="381"/>
      <c r="XJ27" s="381"/>
      <c r="XK27" s="381"/>
      <c r="XL27" s="381"/>
      <c r="XM27" s="381"/>
      <c r="XN27" s="381"/>
      <c r="XO27" s="381"/>
      <c r="XP27" s="381"/>
      <c r="XQ27" s="381"/>
      <c r="XR27" s="381"/>
      <c r="XS27" s="381"/>
      <c r="XT27" s="381"/>
      <c r="XU27" s="381"/>
      <c r="XV27" s="381"/>
      <c r="XW27" s="381"/>
      <c r="XX27" s="381"/>
      <c r="XY27" s="381"/>
      <c r="XZ27" s="381"/>
      <c r="YA27" s="381"/>
      <c r="YB27" s="381"/>
      <c r="YC27" s="381"/>
      <c r="YD27" s="381"/>
      <c r="YE27" s="381"/>
      <c r="YF27" s="381"/>
      <c r="YG27" s="381"/>
      <c r="YH27" s="381"/>
      <c r="YI27" s="381"/>
      <c r="YJ27" s="381"/>
      <c r="YK27" s="381"/>
      <c r="YL27" s="381"/>
      <c r="YM27" s="381"/>
      <c r="YN27" s="381"/>
      <c r="YO27" s="381"/>
      <c r="YP27" s="381"/>
      <c r="YQ27" s="381"/>
      <c r="YR27" s="381"/>
      <c r="YS27" s="381"/>
      <c r="YT27" s="381"/>
      <c r="YU27" s="381"/>
      <c r="YV27" s="381"/>
      <c r="YW27" s="381"/>
      <c r="YX27" s="381"/>
      <c r="YY27" s="381"/>
      <c r="YZ27" s="381"/>
      <c r="ZA27" s="381"/>
      <c r="ZB27" s="381"/>
      <c r="ZC27" s="381"/>
      <c r="ZD27" s="381"/>
      <c r="ZE27" s="381"/>
      <c r="ZF27" s="381"/>
      <c r="ZG27" s="381"/>
      <c r="ZH27" s="381"/>
      <c r="ZI27" s="381"/>
      <c r="ZJ27" s="381"/>
      <c r="ZK27" s="381"/>
      <c r="ZL27" s="381"/>
      <c r="ZM27" s="381"/>
      <c r="ZN27" s="381"/>
      <c r="ZO27" s="381"/>
      <c r="ZP27" s="381"/>
      <c r="ZQ27" s="381"/>
      <c r="ZR27" s="381"/>
      <c r="ZS27" s="381"/>
      <c r="ZT27" s="381"/>
      <c r="ZU27" s="381"/>
      <c r="ZV27" s="381"/>
      <c r="ZW27" s="381"/>
      <c r="ZX27" s="381"/>
      <c r="ZY27" s="381"/>
      <c r="ZZ27" s="381"/>
      <c r="AAA27" s="381"/>
      <c r="AAB27" s="381"/>
      <c r="AAC27" s="381"/>
      <c r="AAD27" s="381"/>
      <c r="AAE27" s="381"/>
      <c r="AAF27" s="381"/>
      <c r="AAG27" s="381"/>
      <c r="AAH27" s="381"/>
      <c r="AAI27" s="381"/>
      <c r="AAJ27" s="381"/>
      <c r="AAK27" s="381"/>
      <c r="AAL27" s="381"/>
      <c r="AAM27" s="381"/>
      <c r="AAN27" s="381"/>
      <c r="AAO27" s="381"/>
      <c r="AAP27" s="381"/>
      <c r="AAQ27" s="381"/>
      <c r="AAR27" s="381"/>
      <c r="AAS27" s="381"/>
      <c r="AAT27" s="381"/>
      <c r="AAU27" s="381"/>
      <c r="AAV27" s="381"/>
      <c r="AAW27" s="381"/>
      <c r="AAX27" s="381"/>
      <c r="AAY27" s="381"/>
      <c r="AAZ27" s="381"/>
      <c r="ABA27" s="381"/>
      <c r="ABB27" s="381"/>
      <c r="ABC27" s="381"/>
      <c r="ABD27" s="381"/>
      <c r="ABE27" s="381"/>
      <c r="ABF27" s="381"/>
      <c r="ABG27" s="381"/>
      <c r="ABH27" s="381"/>
      <c r="ABI27" s="381"/>
      <c r="ABJ27" s="381"/>
      <c r="ABK27" s="381"/>
      <c r="ABL27" s="381"/>
      <c r="ABM27" s="381"/>
      <c r="ABN27" s="381"/>
      <c r="ABO27" s="381"/>
      <c r="ABP27" s="381"/>
      <c r="ABQ27" s="381"/>
      <c r="ABR27" s="381"/>
      <c r="ABS27" s="381"/>
      <c r="ABT27" s="381"/>
      <c r="ABU27" s="381"/>
      <c r="ABV27" s="381"/>
      <c r="ABW27" s="381"/>
      <c r="ABX27" s="381"/>
      <c r="ABY27" s="381"/>
      <c r="ABZ27" s="381"/>
      <c r="ACA27" s="381"/>
      <c r="ACB27" s="381"/>
      <c r="ACC27" s="381"/>
      <c r="ACD27" s="381"/>
      <c r="ACE27" s="381"/>
      <c r="ACF27" s="381"/>
      <c r="ACG27" s="381"/>
      <c r="ACH27" s="381"/>
      <c r="ACI27" s="381"/>
      <c r="ACJ27" s="381"/>
      <c r="ACK27" s="381"/>
      <c r="ACL27" s="381"/>
      <c r="ACM27" s="381"/>
      <c r="ACN27" s="381"/>
      <c r="ACO27" s="381"/>
      <c r="ACP27" s="381"/>
      <c r="ACQ27" s="381"/>
      <c r="ACR27" s="381"/>
      <c r="ACS27" s="381"/>
      <c r="ACT27" s="381"/>
      <c r="ACU27" s="381"/>
      <c r="ACV27" s="381"/>
      <c r="ACW27" s="381"/>
      <c r="ACX27" s="381"/>
      <c r="ACY27" s="381"/>
      <c r="ACZ27" s="381"/>
      <c r="ADA27" s="381"/>
      <c r="ADB27" s="381"/>
      <c r="ADC27" s="381"/>
      <c r="ADD27" s="381"/>
      <c r="ADE27" s="381"/>
      <c r="ADF27" s="381"/>
      <c r="ADG27" s="381"/>
      <c r="ADH27" s="381"/>
      <c r="ADI27" s="381"/>
      <c r="ADJ27" s="381"/>
      <c r="ADK27" s="381"/>
      <c r="ADL27" s="381"/>
      <c r="ADM27" s="381"/>
      <c r="ADN27" s="381"/>
      <c r="ADO27" s="381"/>
      <c r="ADP27" s="381"/>
      <c r="ADQ27" s="381"/>
      <c r="ADR27" s="381"/>
      <c r="ADS27" s="381"/>
      <c r="ADT27" s="381"/>
      <c r="ADU27" s="381"/>
      <c r="ADV27" s="381"/>
      <c r="ADW27" s="381"/>
      <c r="ADX27" s="381"/>
      <c r="ADY27" s="381"/>
      <c r="ADZ27" s="381"/>
      <c r="AEA27" s="381"/>
      <c r="AEB27" s="381"/>
      <c r="AEC27" s="381"/>
      <c r="AED27" s="381"/>
      <c r="AEE27" s="381"/>
      <c r="AEF27" s="381"/>
      <c r="AEG27" s="381"/>
      <c r="AEH27" s="381"/>
      <c r="AEI27" s="381"/>
      <c r="AEJ27" s="381"/>
      <c r="AEK27" s="381"/>
      <c r="AEL27" s="381"/>
      <c r="AEM27" s="381"/>
      <c r="AEN27" s="381"/>
      <c r="AEO27" s="381"/>
      <c r="AEP27" s="381"/>
      <c r="AEQ27" s="381"/>
      <c r="AER27" s="381"/>
      <c r="AES27" s="381"/>
      <c r="AET27" s="381"/>
      <c r="AEU27" s="381"/>
      <c r="AEV27" s="381"/>
      <c r="AEW27" s="381"/>
      <c r="AEX27" s="381"/>
      <c r="AEY27" s="381"/>
      <c r="AEZ27" s="381"/>
      <c r="AFA27" s="381"/>
      <c r="AFB27" s="381"/>
      <c r="AFC27" s="381"/>
      <c r="AFD27" s="381"/>
      <c r="AFE27" s="381"/>
      <c r="AFF27" s="381"/>
      <c r="AFG27" s="381"/>
      <c r="AFH27" s="381"/>
      <c r="AFI27" s="381"/>
      <c r="AFJ27" s="381"/>
      <c r="AFK27" s="381"/>
      <c r="AFL27" s="381"/>
      <c r="AFM27" s="381"/>
      <c r="AFN27" s="381"/>
      <c r="AFO27" s="381"/>
      <c r="AFP27" s="381"/>
      <c r="AFQ27" s="381"/>
      <c r="AFR27" s="381"/>
      <c r="AFS27" s="381"/>
      <c r="AFT27" s="381"/>
      <c r="AFU27" s="381"/>
      <c r="AFV27" s="381"/>
      <c r="AFW27" s="381"/>
      <c r="AFX27" s="381"/>
      <c r="AFY27" s="381"/>
      <c r="AFZ27" s="381"/>
      <c r="AGA27" s="381"/>
      <c r="AGB27" s="381"/>
      <c r="AGC27" s="381"/>
      <c r="AGD27" s="381"/>
      <c r="AGE27" s="381"/>
      <c r="AGF27" s="381"/>
      <c r="AGG27" s="381"/>
      <c r="AGH27" s="381"/>
      <c r="AGI27" s="381"/>
      <c r="AGJ27" s="381"/>
      <c r="AGK27" s="381"/>
      <c r="AGL27" s="381"/>
      <c r="AGM27" s="381"/>
      <c r="AGN27" s="381"/>
      <c r="AGO27" s="381"/>
      <c r="AGP27" s="381"/>
      <c r="AGQ27" s="381"/>
      <c r="AGR27" s="381"/>
      <c r="AGS27" s="381"/>
      <c r="AGT27" s="381"/>
      <c r="AGU27" s="381"/>
      <c r="AGV27" s="381"/>
      <c r="AGW27" s="381"/>
      <c r="AGX27" s="381"/>
      <c r="AGY27" s="381"/>
      <c r="AGZ27" s="381"/>
      <c r="AHA27" s="381"/>
      <c r="AHB27" s="381"/>
      <c r="AHC27" s="381"/>
      <c r="AHD27" s="381"/>
      <c r="AHE27" s="381"/>
      <c r="AHF27" s="381"/>
      <c r="AHG27" s="381"/>
      <c r="AHH27" s="381"/>
      <c r="AHI27" s="381"/>
      <c r="AHJ27" s="381"/>
      <c r="AHK27" s="381"/>
      <c r="AHL27" s="381"/>
      <c r="AHM27" s="381"/>
      <c r="AHN27" s="381"/>
      <c r="AHO27" s="381"/>
      <c r="AHP27" s="381"/>
      <c r="AHQ27" s="381"/>
      <c r="AHR27" s="381"/>
      <c r="AHS27" s="381"/>
      <c r="AHT27" s="381"/>
      <c r="AHU27" s="381"/>
      <c r="AHV27" s="381"/>
      <c r="AHW27" s="381"/>
      <c r="AHX27" s="381"/>
      <c r="AHY27" s="381"/>
      <c r="AHZ27" s="381"/>
      <c r="AIA27" s="381"/>
      <c r="AIB27" s="381"/>
      <c r="AIC27" s="381"/>
      <c r="AID27" s="381"/>
      <c r="AIE27" s="381"/>
      <c r="AIF27" s="381"/>
      <c r="AIG27" s="381"/>
      <c r="AIH27" s="381"/>
      <c r="AII27" s="381"/>
      <c r="AIJ27" s="381"/>
      <c r="AIK27" s="381"/>
      <c r="AIL27" s="381"/>
      <c r="AIM27" s="381"/>
      <c r="AIN27" s="381"/>
      <c r="AIO27" s="381"/>
      <c r="AIP27" s="381"/>
      <c r="AIQ27" s="381"/>
      <c r="AIR27" s="381"/>
      <c r="AIS27" s="381"/>
      <c r="AIT27" s="381"/>
      <c r="AIU27" s="381"/>
      <c r="AIV27" s="381"/>
      <c r="AIW27" s="381"/>
      <c r="AIX27" s="381"/>
      <c r="AIY27" s="381"/>
      <c r="AIZ27" s="381"/>
      <c r="AJA27" s="381"/>
      <c r="AJB27" s="381"/>
      <c r="AJC27" s="381"/>
      <c r="AJD27" s="381"/>
      <c r="AJE27" s="381"/>
      <c r="AJF27" s="381"/>
      <c r="AJG27" s="381"/>
      <c r="AJH27" s="381"/>
      <c r="AJI27" s="381"/>
      <c r="AJJ27" s="381"/>
      <c r="AJK27" s="381"/>
      <c r="AJL27" s="381"/>
      <c r="AJM27" s="381"/>
      <c r="AJN27" s="381"/>
      <c r="AJO27" s="381"/>
      <c r="AJP27" s="381"/>
      <c r="AJQ27" s="381"/>
      <c r="AJR27" s="381"/>
      <c r="AJS27" s="381"/>
      <c r="AJT27" s="381"/>
      <c r="AJU27" s="381"/>
      <c r="AJV27" s="381"/>
      <c r="AJW27" s="381"/>
      <c r="AJX27" s="381"/>
      <c r="AJY27" s="381"/>
      <c r="AJZ27" s="381"/>
      <c r="AKA27" s="381"/>
      <c r="AKB27" s="381"/>
      <c r="AKC27" s="381"/>
      <c r="AKD27" s="381"/>
      <c r="AKE27" s="381"/>
      <c r="AKF27" s="381"/>
      <c r="AKG27" s="381"/>
      <c r="AKH27" s="381"/>
      <c r="AKI27" s="381"/>
      <c r="AKJ27" s="381"/>
      <c r="AKK27" s="381"/>
      <c r="AKL27" s="381"/>
      <c r="AKM27" s="381"/>
      <c r="AKN27" s="381"/>
      <c r="AKO27" s="381"/>
      <c r="AKP27" s="381"/>
      <c r="AKQ27" s="381"/>
      <c r="AKR27" s="381"/>
      <c r="AKS27" s="381"/>
      <c r="AKT27" s="381"/>
      <c r="AKU27" s="381"/>
      <c r="AKV27" s="381"/>
      <c r="AKW27" s="381"/>
      <c r="AKX27" s="381"/>
      <c r="AKY27" s="381"/>
      <c r="AKZ27" s="381"/>
      <c r="ALA27" s="381"/>
      <c r="ALB27" s="381"/>
      <c r="ALC27" s="381"/>
    </row>
    <row r="28" spans="1:991" s="400" customFormat="1" ht="150" customHeight="1" thickBot="1" x14ac:dyDescent="0.3">
      <c r="A28" s="381"/>
      <c r="B28" s="360"/>
      <c r="C28" s="361" t="e">
        <f>J28-#REF!</f>
        <v>#REF!</v>
      </c>
      <c r="D28" s="362" t="s">
        <v>476</v>
      </c>
      <c r="E28" s="382"/>
      <c r="F28" s="383"/>
      <c r="G28" s="384"/>
      <c r="H28" s="385" t="s">
        <v>112</v>
      </c>
      <c r="I28" s="386" t="s">
        <v>477</v>
      </c>
      <c r="J28" s="387">
        <v>350000</v>
      </c>
      <c r="K28" s="388">
        <v>0</v>
      </c>
      <c r="L28" s="389">
        <v>250000</v>
      </c>
      <c r="M28" s="390">
        <v>100000</v>
      </c>
      <c r="N28" s="390">
        <v>0</v>
      </c>
      <c r="O28" s="391">
        <v>0</v>
      </c>
      <c r="P28" s="389"/>
      <c r="Q28" s="390"/>
      <c r="R28" s="390"/>
      <c r="S28" s="392"/>
      <c r="T28" s="393"/>
      <c r="U28" s="389"/>
      <c r="V28" s="390"/>
      <c r="W28" s="390"/>
      <c r="X28" s="390"/>
      <c r="Y28" s="390"/>
      <c r="Z28" s="390"/>
      <c r="AA28" s="390"/>
      <c r="AB28" s="392"/>
      <c r="AC28" s="392"/>
      <c r="AD28" s="392"/>
      <c r="AE28" s="392"/>
      <c r="AF28" s="390"/>
      <c r="AG28" s="392"/>
      <c r="AH28" s="394"/>
      <c r="AI28" s="393"/>
      <c r="AJ28" s="389"/>
      <c r="AK28" s="390"/>
      <c r="AL28" s="395"/>
      <c r="AM28" s="376">
        <v>0</v>
      </c>
      <c r="AN28" s="395">
        <v>250000</v>
      </c>
      <c r="AO28" s="376">
        <v>100000</v>
      </c>
      <c r="AP28" s="396"/>
      <c r="AQ28" s="390">
        <v>350000</v>
      </c>
      <c r="AR28" s="390"/>
      <c r="AS28" s="390">
        <v>0</v>
      </c>
      <c r="AT28" s="392"/>
      <c r="AU28" s="392"/>
      <c r="AV28" s="390"/>
      <c r="AW28" s="392"/>
      <c r="AX28" s="393"/>
      <c r="AY28" s="389"/>
      <c r="AZ28" s="397"/>
      <c r="BA28" s="398"/>
      <c r="BB28" s="399"/>
      <c r="BC28" s="381"/>
      <c r="BD28" s="381"/>
      <c r="BE28" s="381"/>
      <c r="BF28" s="381"/>
      <c r="BG28" s="381"/>
      <c r="BH28" s="381"/>
      <c r="BI28" s="381"/>
      <c r="BJ28" s="381"/>
      <c r="BK28" s="381"/>
      <c r="BL28" s="381"/>
      <c r="BM28" s="381"/>
      <c r="BN28" s="381"/>
      <c r="BO28" s="381"/>
      <c r="BP28" s="381"/>
      <c r="BQ28" s="381"/>
      <c r="BR28" s="381"/>
      <c r="BS28" s="381"/>
      <c r="BT28" s="381"/>
      <c r="BU28" s="381"/>
      <c r="BV28" s="381"/>
      <c r="BW28" s="381"/>
      <c r="BX28" s="381"/>
      <c r="BY28" s="381"/>
      <c r="BZ28" s="381"/>
      <c r="CA28" s="381"/>
      <c r="CB28" s="381"/>
      <c r="CC28" s="381"/>
      <c r="CD28" s="381"/>
      <c r="CE28" s="381"/>
      <c r="CF28" s="381"/>
      <c r="CG28" s="381"/>
      <c r="CH28" s="381"/>
      <c r="CI28" s="381"/>
      <c r="CJ28" s="381"/>
      <c r="CK28" s="381"/>
      <c r="CL28" s="381"/>
      <c r="CM28" s="381"/>
      <c r="CN28" s="381"/>
      <c r="CO28" s="381"/>
      <c r="CP28" s="381"/>
      <c r="CQ28" s="381"/>
      <c r="CR28" s="381"/>
      <c r="CS28" s="381"/>
      <c r="CT28" s="381"/>
      <c r="CU28" s="381"/>
      <c r="CV28" s="381"/>
      <c r="CW28" s="381"/>
      <c r="CX28" s="381"/>
      <c r="CY28" s="381"/>
      <c r="CZ28" s="381"/>
      <c r="DA28" s="381"/>
      <c r="DB28" s="381"/>
      <c r="DC28" s="381"/>
      <c r="DD28" s="381"/>
      <c r="DE28" s="381"/>
      <c r="DF28" s="381"/>
      <c r="DG28" s="381"/>
      <c r="DH28" s="381"/>
      <c r="DI28" s="381"/>
      <c r="DJ28" s="381"/>
      <c r="DK28" s="381"/>
      <c r="DL28" s="381"/>
      <c r="DM28" s="381"/>
      <c r="DN28" s="381"/>
      <c r="DO28" s="381"/>
      <c r="DP28" s="381"/>
      <c r="DQ28" s="381"/>
      <c r="DR28" s="381"/>
      <c r="DS28" s="381"/>
      <c r="DT28" s="381"/>
      <c r="DU28" s="381"/>
      <c r="DV28" s="381"/>
      <c r="DW28" s="381"/>
      <c r="DX28" s="381"/>
      <c r="DY28" s="381"/>
      <c r="DZ28" s="381"/>
      <c r="EA28" s="381"/>
      <c r="EB28" s="381"/>
      <c r="EC28" s="381"/>
      <c r="ED28" s="381"/>
      <c r="EE28" s="381"/>
      <c r="EF28" s="381"/>
      <c r="EG28" s="381"/>
      <c r="EH28" s="381"/>
      <c r="EI28" s="381"/>
      <c r="EJ28" s="381"/>
      <c r="EK28" s="381"/>
      <c r="EL28" s="381"/>
      <c r="EM28" s="381"/>
      <c r="EN28" s="381"/>
      <c r="EO28" s="381"/>
      <c r="EP28" s="381"/>
      <c r="EQ28" s="381"/>
      <c r="ER28" s="381"/>
      <c r="ES28" s="381"/>
      <c r="ET28" s="381"/>
      <c r="EU28" s="381"/>
      <c r="EV28" s="381"/>
      <c r="EW28" s="381"/>
      <c r="EX28" s="381"/>
      <c r="EY28" s="381"/>
      <c r="EZ28" s="381"/>
      <c r="FA28" s="381"/>
      <c r="FB28" s="381"/>
      <c r="FC28" s="381"/>
      <c r="FD28" s="381"/>
      <c r="FE28" s="381"/>
      <c r="FF28" s="381"/>
      <c r="FG28" s="381"/>
      <c r="FH28" s="381"/>
      <c r="FI28" s="381"/>
      <c r="FJ28" s="381"/>
      <c r="FK28" s="381"/>
      <c r="FL28" s="381"/>
      <c r="FM28" s="381"/>
      <c r="FN28" s="381"/>
      <c r="FO28" s="381"/>
      <c r="FP28" s="381"/>
      <c r="FQ28" s="381"/>
      <c r="FR28" s="381"/>
      <c r="FS28" s="381"/>
      <c r="FT28" s="381"/>
      <c r="FU28" s="381"/>
      <c r="FV28" s="381"/>
      <c r="FW28" s="381"/>
      <c r="FX28" s="381"/>
      <c r="FY28" s="381"/>
      <c r="FZ28" s="381"/>
      <c r="GA28" s="381"/>
      <c r="GB28" s="381"/>
      <c r="GC28" s="381"/>
      <c r="GD28" s="381"/>
      <c r="GE28" s="381"/>
      <c r="GF28" s="381"/>
      <c r="GG28" s="381"/>
      <c r="GH28" s="381"/>
      <c r="GI28" s="381"/>
      <c r="GJ28" s="381"/>
      <c r="GK28" s="381"/>
      <c r="GL28" s="381"/>
      <c r="GM28" s="381"/>
      <c r="GN28" s="381"/>
      <c r="GO28" s="381"/>
      <c r="GP28" s="381"/>
      <c r="GQ28" s="381"/>
      <c r="GR28" s="381"/>
      <c r="GS28" s="381"/>
      <c r="GT28" s="381"/>
      <c r="GU28" s="381"/>
      <c r="GV28" s="381"/>
      <c r="GW28" s="381"/>
      <c r="GX28" s="381"/>
      <c r="GY28" s="381"/>
      <c r="GZ28" s="381"/>
      <c r="HA28" s="381"/>
      <c r="HB28" s="381"/>
      <c r="HC28" s="381"/>
      <c r="HD28" s="381"/>
      <c r="HE28" s="381"/>
      <c r="HF28" s="381"/>
      <c r="HG28" s="381"/>
      <c r="HH28" s="381"/>
      <c r="HI28" s="381"/>
      <c r="HJ28" s="381"/>
      <c r="HK28" s="381"/>
      <c r="HL28" s="381"/>
      <c r="HM28" s="381"/>
      <c r="HN28" s="381"/>
      <c r="HO28" s="381"/>
      <c r="HP28" s="381"/>
      <c r="HQ28" s="381"/>
      <c r="HR28" s="381"/>
      <c r="HS28" s="381"/>
      <c r="HT28" s="381"/>
      <c r="HU28" s="381"/>
      <c r="HV28" s="381"/>
      <c r="HW28" s="381"/>
      <c r="HX28" s="381"/>
      <c r="HY28" s="381"/>
      <c r="HZ28" s="381"/>
      <c r="IA28" s="381"/>
      <c r="IB28" s="381"/>
      <c r="IC28" s="381"/>
      <c r="ID28" s="381"/>
      <c r="IE28" s="381"/>
      <c r="IF28" s="381"/>
      <c r="IG28" s="381"/>
      <c r="IH28" s="381"/>
      <c r="II28" s="381"/>
      <c r="IJ28" s="381"/>
      <c r="IK28" s="381"/>
      <c r="IL28" s="381"/>
      <c r="IM28" s="381"/>
      <c r="IN28" s="381"/>
      <c r="IO28" s="381"/>
      <c r="IP28" s="381"/>
      <c r="IQ28" s="381"/>
      <c r="IR28" s="381"/>
      <c r="IS28" s="381"/>
      <c r="IT28" s="381"/>
      <c r="IU28" s="381"/>
      <c r="IV28" s="381"/>
      <c r="IW28" s="381"/>
      <c r="IX28" s="381"/>
      <c r="IY28" s="381"/>
      <c r="IZ28" s="381"/>
      <c r="JA28" s="381"/>
      <c r="JB28" s="381"/>
      <c r="JC28" s="381"/>
      <c r="JD28" s="381"/>
      <c r="JE28" s="381"/>
      <c r="JF28" s="381"/>
      <c r="JG28" s="381"/>
      <c r="JH28" s="381"/>
      <c r="JI28" s="381"/>
      <c r="JJ28" s="381"/>
      <c r="JK28" s="381"/>
      <c r="JL28" s="381"/>
      <c r="JM28" s="381"/>
      <c r="JN28" s="381"/>
      <c r="JO28" s="381"/>
      <c r="JP28" s="381"/>
      <c r="JQ28" s="381"/>
      <c r="JR28" s="381"/>
      <c r="JS28" s="381"/>
      <c r="JT28" s="381"/>
      <c r="JU28" s="381"/>
      <c r="JV28" s="381"/>
      <c r="JW28" s="381"/>
      <c r="JX28" s="381"/>
      <c r="JY28" s="381"/>
      <c r="JZ28" s="381"/>
      <c r="KA28" s="381"/>
      <c r="KB28" s="381"/>
      <c r="KC28" s="381"/>
      <c r="KD28" s="381"/>
      <c r="KE28" s="381"/>
      <c r="KF28" s="381"/>
      <c r="KG28" s="381"/>
      <c r="KH28" s="381"/>
      <c r="KI28" s="381"/>
      <c r="KJ28" s="381"/>
      <c r="KK28" s="381"/>
      <c r="KL28" s="381"/>
      <c r="KM28" s="381"/>
      <c r="KN28" s="381"/>
      <c r="KO28" s="381"/>
      <c r="KP28" s="381"/>
      <c r="KQ28" s="381"/>
      <c r="KR28" s="381"/>
      <c r="KS28" s="381"/>
      <c r="KT28" s="381"/>
      <c r="KU28" s="381"/>
      <c r="KV28" s="381"/>
      <c r="KW28" s="381"/>
      <c r="KX28" s="381"/>
      <c r="KY28" s="381"/>
      <c r="KZ28" s="381"/>
      <c r="LA28" s="381"/>
      <c r="LB28" s="381"/>
      <c r="LC28" s="381"/>
      <c r="LD28" s="381"/>
      <c r="LE28" s="381"/>
      <c r="LF28" s="381"/>
      <c r="LG28" s="381"/>
      <c r="LH28" s="381"/>
      <c r="LI28" s="381"/>
      <c r="LJ28" s="381"/>
      <c r="LK28" s="381"/>
      <c r="LL28" s="381"/>
      <c r="LM28" s="381"/>
      <c r="LN28" s="381"/>
      <c r="LO28" s="381"/>
      <c r="LP28" s="381"/>
      <c r="LQ28" s="381"/>
      <c r="LR28" s="381"/>
      <c r="LS28" s="381"/>
      <c r="LT28" s="381"/>
      <c r="LU28" s="381"/>
      <c r="LV28" s="381"/>
      <c r="LW28" s="381"/>
      <c r="LX28" s="381"/>
      <c r="LY28" s="381"/>
      <c r="LZ28" s="381"/>
      <c r="MA28" s="381"/>
      <c r="MB28" s="381"/>
      <c r="MC28" s="381"/>
      <c r="MD28" s="381"/>
      <c r="ME28" s="381"/>
      <c r="MF28" s="381"/>
      <c r="MG28" s="381"/>
      <c r="MH28" s="381"/>
      <c r="MI28" s="381"/>
      <c r="MJ28" s="381"/>
      <c r="MK28" s="381"/>
      <c r="ML28" s="381"/>
      <c r="MM28" s="381"/>
      <c r="MN28" s="381"/>
      <c r="MO28" s="381"/>
      <c r="MP28" s="381"/>
      <c r="MQ28" s="381"/>
      <c r="MR28" s="381"/>
      <c r="MS28" s="381"/>
      <c r="MT28" s="381"/>
      <c r="MU28" s="381"/>
      <c r="MV28" s="381"/>
      <c r="MW28" s="381"/>
      <c r="MX28" s="381"/>
      <c r="MY28" s="381"/>
      <c r="MZ28" s="381"/>
      <c r="NA28" s="381"/>
      <c r="NB28" s="381"/>
      <c r="NC28" s="381"/>
      <c r="ND28" s="381"/>
      <c r="NE28" s="381"/>
      <c r="NF28" s="381"/>
      <c r="NG28" s="381"/>
      <c r="NH28" s="381"/>
      <c r="NI28" s="381"/>
      <c r="NJ28" s="381"/>
      <c r="NK28" s="381"/>
      <c r="NL28" s="381"/>
      <c r="NM28" s="381"/>
      <c r="NN28" s="381"/>
      <c r="NO28" s="381"/>
      <c r="NP28" s="381"/>
      <c r="NQ28" s="381"/>
      <c r="NR28" s="381"/>
      <c r="NS28" s="381"/>
      <c r="NT28" s="381"/>
      <c r="NU28" s="381"/>
      <c r="NV28" s="381"/>
      <c r="NW28" s="381"/>
      <c r="NX28" s="381"/>
      <c r="NY28" s="381"/>
      <c r="NZ28" s="381"/>
      <c r="OA28" s="381"/>
      <c r="OB28" s="381"/>
      <c r="OC28" s="381"/>
      <c r="OD28" s="381"/>
      <c r="OE28" s="381"/>
      <c r="OF28" s="381"/>
      <c r="OG28" s="381"/>
      <c r="OH28" s="381"/>
      <c r="OI28" s="381"/>
      <c r="OJ28" s="381"/>
      <c r="OK28" s="381"/>
      <c r="OL28" s="381"/>
      <c r="OM28" s="381"/>
      <c r="ON28" s="381"/>
      <c r="OO28" s="381"/>
      <c r="OP28" s="381"/>
      <c r="OQ28" s="381"/>
      <c r="OR28" s="381"/>
      <c r="OS28" s="381"/>
      <c r="OT28" s="381"/>
      <c r="OU28" s="381"/>
      <c r="OV28" s="381"/>
      <c r="OW28" s="381"/>
      <c r="OX28" s="381"/>
      <c r="OY28" s="381"/>
      <c r="OZ28" s="381"/>
      <c r="PA28" s="381"/>
      <c r="PB28" s="381"/>
      <c r="PC28" s="381"/>
      <c r="PD28" s="381"/>
      <c r="PE28" s="381"/>
      <c r="PF28" s="381"/>
      <c r="PG28" s="381"/>
      <c r="PH28" s="381"/>
      <c r="PI28" s="381"/>
      <c r="PJ28" s="381"/>
      <c r="PK28" s="381"/>
      <c r="PL28" s="381"/>
      <c r="PM28" s="381"/>
      <c r="PN28" s="381"/>
      <c r="PO28" s="381"/>
      <c r="PP28" s="381"/>
      <c r="PQ28" s="381"/>
      <c r="PR28" s="381"/>
      <c r="PS28" s="381"/>
      <c r="PT28" s="381"/>
      <c r="PU28" s="381"/>
      <c r="PV28" s="381"/>
      <c r="PW28" s="381"/>
      <c r="PX28" s="381"/>
      <c r="PY28" s="381"/>
      <c r="PZ28" s="381"/>
      <c r="QA28" s="381"/>
      <c r="QB28" s="381"/>
      <c r="QC28" s="381"/>
      <c r="QD28" s="381"/>
      <c r="QE28" s="381"/>
      <c r="QF28" s="381"/>
      <c r="QG28" s="381"/>
      <c r="QH28" s="381"/>
      <c r="QI28" s="381"/>
      <c r="QJ28" s="381"/>
      <c r="QK28" s="381"/>
      <c r="QL28" s="381"/>
      <c r="QM28" s="381"/>
      <c r="QN28" s="381"/>
      <c r="QO28" s="381"/>
      <c r="QP28" s="381"/>
      <c r="QQ28" s="381"/>
      <c r="QR28" s="381"/>
      <c r="QS28" s="381"/>
      <c r="QT28" s="381"/>
      <c r="QU28" s="381"/>
      <c r="QV28" s="381"/>
      <c r="QW28" s="381"/>
      <c r="QX28" s="381"/>
      <c r="QY28" s="381"/>
      <c r="QZ28" s="381"/>
      <c r="RA28" s="381"/>
      <c r="RB28" s="381"/>
      <c r="RC28" s="381"/>
      <c r="RD28" s="381"/>
      <c r="RE28" s="381"/>
      <c r="RF28" s="381"/>
      <c r="RG28" s="381"/>
      <c r="RH28" s="381"/>
      <c r="RI28" s="381"/>
      <c r="RJ28" s="381"/>
      <c r="RK28" s="381"/>
      <c r="RL28" s="381"/>
      <c r="RM28" s="381"/>
      <c r="RN28" s="381"/>
      <c r="RO28" s="381"/>
      <c r="RP28" s="381"/>
      <c r="RQ28" s="381"/>
      <c r="RR28" s="381"/>
      <c r="RS28" s="381"/>
      <c r="RT28" s="381"/>
      <c r="RU28" s="381"/>
      <c r="RV28" s="381"/>
      <c r="RW28" s="381"/>
      <c r="RX28" s="381"/>
      <c r="RY28" s="381"/>
      <c r="RZ28" s="381"/>
      <c r="SA28" s="381"/>
      <c r="SB28" s="381"/>
      <c r="SC28" s="381"/>
      <c r="SD28" s="381"/>
      <c r="SE28" s="381"/>
      <c r="SF28" s="381"/>
      <c r="SG28" s="381"/>
      <c r="SH28" s="381"/>
      <c r="SI28" s="381"/>
      <c r="SJ28" s="381"/>
      <c r="SK28" s="381"/>
      <c r="SL28" s="381"/>
      <c r="SM28" s="381"/>
      <c r="SN28" s="381"/>
      <c r="SO28" s="381"/>
      <c r="SP28" s="381"/>
      <c r="SQ28" s="381"/>
      <c r="SR28" s="381"/>
      <c r="SS28" s="381"/>
      <c r="ST28" s="381"/>
      <c r="SU28" s="381"/>
      <c r="SV28" s="381"/>
      <c r="SW28" s="381"/>
      <c r="SX28" s="381"/>
      <c r="SY28" s="381"/>
      <c r="SZ28" s="381"/>
      <c r="TA28" s="381"/>
      <c r="TB28" s="381"/>
      <c r="TC28" s="381"/>
      <c r="TD28" s="381"/>
      <c r="TE28" s="381"/>
      <c r="TF28" s="381"/>
      <c r="TG28" s="381"/>
      <c r="TH28" s="381"/>
      <c r="TI28" s="381"/>
      <c r="TJ28" s="381"/>
      <c r="TK28" s="381"/>
      <c r="TL28" s="381"/>
      <c r="TM28" s="381"/>
      <c r="TN28" s="381"/>
      <c r="TO28" s="381"/>
      <c r="TP28" s="381"/>
      <c r="TQ28" s="381"/>
      <c r="TR28" s="381"/>
      <c r="TS28" s="381"/>
      <c r="TT28" s="381"/>
      <c r="TU28" s="381"/>
      <c r="TV28" s="381"/>
      <c r="TW28" s="381"/>
      <c r="TX28" s="381"/>
      <c r="TY28" s="381"/>
      <c r="TZ28" s="381"/>
      <c r="UA28" s="381"/>
      <c r="UB28" s="381"/>
      <c r="UC28" s="381"/>
      <c r="UD28" s="381"/>
      <c r="UE28" s="381"/>
      <c r="UF28" s="381"/>
      <c r="UG28" s="381"/>
      <c r="UH28" s="381"/>
      <c r="UI28" s="381"/>
      <c r="UJ28" s="381"/>
      <c r="UK28" s="381"/>
      <c r="UL28" s="381"/>
      <c r="UM28" s="381"/>
      <c r="UN28" s="381"/>
      <c r="UO28" s="381"/>
      <c r="UP28" s="381"/>
      <c r="UQ28" s="381"/>
      <c r="UR28" s="381"/>
      <c r="US28" s="381"/>
      <c r="UT28" s="381"/>
      <c r="UU28" s="381"/>
      <c r="UV28" s="381"/>
      <c r="UW28" s="381"/>
      <c r="UX28" s="381"/>
      <c r="UY28" s="381"/>
      <c r="UZ28" s="381"/>
      <c r="VA28" s="381"/>
      <c r="VB28" s="381"/>
      <c r="VC28" s="381"/>
      <c r="VD28" s="381"/>
      <c r="VE28" s="381"/>
      <c r="VF28" s="381"/>
      <c r="VG28" s="381"/>
      <c r="VH28" s="381"/>
      <c r="VI28" s="381"/>
      <c r="VJ28" s="381"/>
      <c r="VK28" s="381"/>
      <c r="VL28" s="381"/>
      <c r="VM28" s="381"/>
      <c r="VN28" s="381"/>
      <c r="VO28" s="381"/>
      <c r="VP28" s="381"/>
      <c r="VQ28" s="381"/>
      <c r="VR28" s="381"/>
      <c r="VS28" s="381"/>
      <c r="VT28" s="381"/>
      <c r="VU28" s="381"/>
      <c r="VV28" s="381"/>
      <c r="VW28" s="381"/>
      <c r="VX28" s="381"/>
      <c r="VY28" s="381"/>
      <c r="VZ28" s="381"/>
      <c r="WA28" s="381"/>
      <c r="WB28" s="381"/>
      <c r="WC28" s="381"/>
      <c r="WD28" s="381"/>
      <c r="WE28" s="381"/>
      <c r="WF28" s="381"/>
      <c r="WG28" s="381"/>
      <c r="WH28" s="381"/>
      <c r="WI28" s="381"/>
      <c r="WJ28" s="381"/>
      <c r="WK28" s="381"/>
      <c r="WL28" s="381"/>
      <c r="WM28" s="381"/>
      <c r="WN28" s="381"/>
      <c r="WO28" s="381"/>
      <c r="WP28" s="381"/>
      <c r="WQ28" s="381"/>
      <c r="WR28" s="381"/>
      <c r="WS28" s="381"/>
      <c r="WT28" s="381"/>
      <c r="WU28" s="381"/>
      <c r="WV28" s="381"/>
      <c r="WW28" s="381"/>
      <c r="WX28" s="381"/>
      <c r="WY28" s="381"/>
      <c r="WZ28" s="381"/>
      <c r="XA28" s="381"/>
      <c r="XB28" s="381"/>
      <c r="XC28" s="381"/>
      <c r="XD28" s="381"/>
      <c r="XE28" s="381"/>
      <c r="XF28" s="381"/>
      <c r="XG28" s="381"/>
      <c r="XH28" s="381"/>
      <c r="XI28" s="381"/>
      <c r="XJ28" s="381"/>
      <c r="XK28" s="381"/>
      <c r="XL28" s="381"/>
      <c r="XM28" s="381"/>
      <c r="XN28" s="381"/>
      <c r="XO28" s="381"/>
      <c r="XP28" s="381"/>
      <c r="XQ28" s="381"/>
      <c r="XR28" s="381"/>
      <c r="XS28" s="381"/>
      <c r="XT28" s="381"/>
      <c r="XU28" s="381"/>
      <c r="XV28" s="381"/>
      <c r="XW28" s="381"/>
      <c r="XX28" s="381"/>
      <c r="XY28" s="381"/>
      <c r="XZ28" s="381"/>
      <c r="YA28" s="381"/>
      <c r="YB28" s="381"/>
      <c r="YC28" s="381"/>
      <c r="YD28" s="381"/>
      <c r="YE28" s="381"/>
      <c r="YF28" s="381"/>
      <c r="YG28" s="381"/>
      <c r="YH28" s="381"/>
      <c r="YI28" s="381"/>
      <c r="YJ28" s="381"/>
      <c r="YK28" s="381"/>
      <c r="YL28" s="381"/>
      <c r="YM28" s="381"/>
      <c r="YN28" s="381"/>
      <c r="YO28" s="381"/>
      <c r="YP28" s="381"/>
      <c r="YQ28" s="381"/>
      <c r="YR28" s="381"/>
      <c r="YS28" s="381"/>
      <c r="YT28" s="381"/>
      <c r="YU28" s="381"/>
      <c r="YV28" s="381"/>
      <c r="YW28" s="381"/>
      <c r="YX28" s="381"/>
      <c r="YY28" s="381"/>
      <c r="YZ28" s="381"/>
      <c r="ZA28" s="381"/>
      <c r="ZB28" s="381"/>
      <c r="ZC28" s="381"/>
      <c r="ZD28" s="381"/>
      <c r="ZE28" s="381"/>
      <c r="ZF28" s="381"/>
      <c r="ZG28" s="381"/>
      <c r="ZH28" s="381"/>
      <c r="ZI28" s="381"/>
      <c r="ZJ28" s="381"/>
      <c r="ZK28" s="381"/>
      <c r="ZL28" s="381"/>
      <c r="ZM28" s="381"/>
      <c r="ZN28" s="381"/>
      <c r="ZO28" s="381"/>
      <c r="ZP28" s="381"/>
      <c r="ZQ28" s="381"/>
      <c r="ZR28" s="381"/>
      <c r="ZS28" s="381"/>
      <c r="ZT28" s="381"/>
      <c r="ZU28" s="381"/>
      <c r="ZV28" s="381"/>
      <c r="ZW28" s="381"/>
      <c r="ZX28" s="381"/>
      <c r="ZY28" s="381"/>
      <c r="ZZ28" s="381"/>
      <c r="AAA28" s="381"/>
      <c r="AAB28" s="381"/>
      <c r="AAC28" s="381"/>
      <c r="AAD28" s="381"/>
      <c r="AAE28" s="381"/>
      <c r="AAF28" s="381"/>
      <c r="AAG28" s="381"/>
      <c r="AAH28" s="381"/>
      <c r="AAI28" s="381"/>
      <c r="AAJ28" s="381"/>
      <c r="AAK28" s="381"/>
      <c r="AAL28" s="381"/>
      <c r="AAM28" s="381"/>
      <c r="AAN28" s="381"/>
      <c r="AAO28" s="381"/>
      <c r="AAP28" s="381"/>
      <c r="AAQ28" s="381"/>
      <c r="AAR28" s="381"/>
      <c r="AAS28" s="381"/>
      <c r="AAT28" s="381"/>
      <c r="AAU28" s="381"/>
      <c r="AAV28" s="381"/>
      <c r="AAW28" s="381"/>
      <c r="AAX28" s="381"/>
      <c r="AAY28" s="381"/>
      <c r="AAZ28" s="381"/>
      <c r="ABA28" s="381"/>
      <c r="ABB28" s="381"/>
      <c r="ABC28" s="381"/>
      <c r="ABD28" s="381"/>
      <c r="ABE28" s="381"/>
      <c r="ABF28" s="381"/>
      <c r="ABG28" s="381"/>
      <c r="ABH28" s="381"/>
      <c r="ABI28" s="381"/>
      <c r="ABJ28" s="381"/>
      <c r="ABK28" s="381"/>
      <c r="ABL28" s="381"/>
      <c r="ABM28" s="381"/>
      <c r="ABN28" s="381"/>
      <c r="ABO28" s="381"/>
      <c r="ABP28" s="381"/>
      <c r="ABQ28" s="381"/>
      <c r="ABR28" s="381"/>
      <c r="ABS28" s="381"/>
      <c r="ABT28" s="381"/>
      <c r="ABU28" s="381"/>
      <c r="ABV28" s="381"/>
      <c r="ABW28" s="381"/>
      <c r="ABX28" s="381"/>
      <c r="ABY28" s="381"/>
      <c r="ABZ28" s="381"/>
      <c r="ACA28" s="381"/>
      <c r="ACB28" s="381"/>
      <c r="ACC28" s="381"/>
      <c r="ACD28" s="381"/>
      <c r="ACE28" s="381"/>
      <c r="ACF28" s="381"/>
      <c r="ACG28" s="381"/>
      <c r="ACH28" s="381"/>
      <c r="ACI28" s="381"/>
      <c r="ACJ28" s="381"/>
      <c r="ACK28" s="381"/>
      <c r="ACL28" s="381"/>
      <c r="ACM28" s="381"/>
      <c r="ACN28" s="381"/>
      <c r="ACO28" s="381"/>
      <c r="ACP28" s="381"/>
      <c r="ACQ28" s="381"/>
      <c r="ACR28" s="381"/>
      <c r="ACS28" s="381"/>
      <c r="ACT28" s="381"/>
      <c r="ACU28" s="381"/>
      <c r="ACV28" s="381"/>
      <c r="ACW28" s="381"/>
      <c r="ACX28" s="381"/>
      <c r="ACY28" s="381"/>
      <c r="ACZ28" s="381"/>
      <c r="ADA28" s="381"/>
      <c r="ADB28" s="381"/>
      <c r="ADC28" s="381"/>
      <c r="ADD28" s="381"/>
      <c r="ADE28" s="381"/>
      <c r="ADF28" s="381"/>
      <c r="ADG28" s="381"/>
      <c r="ADH28" s="381"/>
      <c r="ADI28" s="381"/>
      <c r="ADJ28" s="381"/>
      <c r="ADK28" s="381"/>
      <c r="ADL28" s="381"/>
      <c r="ADM28" s="381"/>
      <c r="ADN28" s="381"/>
      <c r="ADO28" s="381"/>
      <c r="ADP28" s="381"/>
      <c r="ADQ28" s="381"/>
      <c r="ADR28" s="381"/>
      <c r="ADS28" s="381"/>
      <c r="ADT28" s="381"/>
      <c r="ADU28" s="381"/>
      <c r="ADV28" s="381"/>
      <c r="ADW28" s="381"/>
      <c r="ADX28" s="381"/>
      <c r="ADY28" s="381"/>
      <c r="ADZ28" s="381"/>
      <c r="AEA28" s="381"/>
      <c r="AEB28" s="381"/>
      <c r="AEC28" s="381"/>
      <c r="AED28" s="381"/>
      <c r="AEE28" s="381"/>
      <c r="AEF28" s="381"/>
      <c r="AEG28" s="381"/>
      <c r="AEH28" s="381"/>
      <c r="AEI28" s="381"/>
      <c r="AEJ28" s="381"/>
      <c r="AEK28" s="381"/>
      <c r="AEL28" s="381"/>
      <c r="AEM28" s="381"/>
      <c r="AEN28" s="381"/>
      <c r="AEO28" s="381"/>
      <c r="AEP28" s="381"/>
      <c r="AEQ28" s="381"/>
      <c r="AER28" s="381"/>
      <c r="AES28" s="381"/>
      <c r="AET28" s="381"/>
      <c r="AEU28" s="381"/>
      <c r="AEV28" s="381"/>
      <c r="AEW28" s="381"/>
      <c r="AEX28" s="381"/>
      <c r="AEY28" s="381"/>
      <c r="AEZ28" s="381"/>
      <c r="AFA28" s="381"/>
      <c r="AFB28" s="381"/>
      <c r="AFC28" s="381"/>
      <c r="AFD28" s="381"/>
      <c r="AFE28" s="381"/>
      <c r="AFF28" s="381"/>
      <c r="AFG28" s="381"/>
      <c r="AFH28" s="381"/>
      <c r="AFI28" s="381"/>
      <c r="AFJ28" s="381"/>
      <c r="AFK28" s="381"/>
      <c r="AFL28" s="381"/>
      <c r="AFM28" s="381"/>
      <c r="AFN28" s="381"/>
      <c r="AFO28" s="381"/>
      <c r="AFP28" s="381"/>
      <c r="AFQ28" s="381"/>
      <c r="AFR28" s="381"/>
      <c r="AFS28" s="381"/>
      <c r="AFT28" s="381"/>
      <c r="AFU28" s="381"/>
      <c r="AFV28" s="381"/>
      <c r="AFW28" s="381"/>
      <c r="AFX28" s="381"/>
      <c r="AFY28" s="381"/>
      <c r="AFZ28" s="381"/>
      <c r="AGA28" s="381"/>
      <c r="AGB28" s="381"/>
      <c r="AGC28" s="381"/>
      <c r="AGD28" s="381"/>
      <c r="AGE28" s="381"/>
      <c r="AGF28" s="381"/>
      <c r="AGG28" s="381"/>
      <c r="AGH28" s="381"/>
      <c r="AGI28" s="381"/>
      <c r="AGJ28" s="381"/>
      <c r="AGK28" s="381"/>
      <c r="AGL28" s="381"/>
      <c r="AGM28" s="381"/>
      <c r="AGN28" s="381"/>
      <c r="AGO28" s="381"/>
      <c r="AGP28" s="381"/>
      <c r="AGQ28" s="381"/>
      <c r="AGR28" s="381"/>
      <c r="AGS28" s="381"/>
      <c r="AGT28" s="381"/>
      <c r="AGU28" s="381"/>
      <c r="AGV28" s="381"/>
      <c r="AGW28" s="381"/>
      <c r="AGX28" s="381"/>
      <c r="AGY28" s="381"/>
      <c r="AGZ28" s="381"/>
      <c r="AHA28" s="381"/>
      <c r="AHB28" s="381"/>
      <c r="AHC28" s="381"/>
      <c r="AHD28" s="381"/>
      <c r="AHE28" s="381"/>
      <c r="AHF28" s="381"/>
      <c r="AHG28" s="381"/>
      <c r="AHH28" s="381"/>
      <c r="AHI28" s="381"/>
      <c r="AHJ28" s="381"/>
      <c r="AHK28" s="381"/>
      <c r="AHL28" s="381"/>
      <c r="AHM28" s="381"/>
      <c r="AHN28" s="381"/>
      <c r="AHO28" s="381"/>
      <c r="AHP28" s="381"/>
      <c r="AHQ28" s="381"/>
      <c r="AHR28" s="381"/>
      <c r="AHS28" s="381"/>
      <c r="AHT28" s="381"/>
      <c r="AHU28" s="381"/>
      <c r="AHV28" s="381"/>
      <c r="AHW28" s="381"/>
      <c r="AHX28" s="381"/>
      <c r="AHY28" s="381"/>
      <c r="AHZ28" s="381"/>
      <c r="AIA28" s="381"/>
      <c r="AIB28" s="381"/>
      <c r="AIC28" s="381"/>
      <c r="AID28" s="381"/>
      <c r="AIE28" s="381"/>
      <c r="AIF28" s="381"/>
      <c r="AIG28" s="381"/>
      <c r="AIH28" s="381"/>
      <c r="AII28" s="381"/>
      <c r="AIJ28" s="381"/>
      <c r="AIK28" s="381"/>
      <c r="AIL28" s="381"/>
      <c r="AIM28" s="381"/>
      <c r="AIN28" s="381"/>
      <c r="AIO28" s="381"/>
      <c r="AIP28" s="381"/>
      <c r="AIQ28" s="381"/>
      <c r="AIR28" s="381"/>
      <c r="AIS28" s="381"/>
      <c r="AIT28" s="381"/>
      <c r="AIU28" s="381"/>
      <c r="AIV28" s="381"/>
      <c r="AIW28" s="381"/>
      <c r="AIX28" s="381"/>
      <c r="AIY28" s="381"/>
      <c r="AIZ28" s="381"/>
      <c r="AJA28" s="381"/>
      <c r="AJB28" s="381"/>
      <c r="AJC28" s="381"/>
      <c r="AJD28" s="381"/>
      <c r="AJE28" s="381"/>
      <c r="AJF28" s="381"/>
      <c r="AJG28" s="381"/>
      <c r="AJH28" s="381"/>
      <c r="AJI28" s="381"/>
      <c r="AJJ28" s="381"/>
      <c r="AJK28" s="381"/>
      <c r="AJL28" s="381"/>
      <c r="AJM28" s="381"/>
      <c r="AJN28" s="381"/>
      <c r="AJO28" s="381"/>
      <c r="AJP28" s="381"/>
      <c r="AJQ28" s="381"/>
      <c r="AJR28" s="381"/>
      <c r="AJS28" s="381"/>
      <c r="AJT28" s="381"/>
      <c r="AJU28" s="381"/>
      <c r="AJV28" s="381"/>
      <c r="AJW28" s="381"/>
      <c r="AJX28" s="381"/>
      <c r="AJY28" s="381"/>
      <c r="AJZ28" s="381"/>
      <c r="AKA28" s="381"/>
      <c r="AKB28" s="381"/>
      <c r="AKC28" s="381"/>
      <c r="AKD28" s="381"/>
      <c r="AKE28" s="381"/>
      <c r="AKF28" s="381"/>
      <c r="AKG28" s="381"/>
      <c r="AKH28" s="381"/>
      <c r="AKI28" s="381"/>
      <c r="AKJ28" s="381"/>
      <c r="AKK28" s="381"/>
      <c r="AKL28" s="381"/>
      <c r="AKM28" s="381"/>
      <c r="AKN28" s="381"/>
      <c r="AKO28" s="381"/>
      <c r="AKP28" s="381"/>
      <c r="AKQ28" s="381"/>
      <c r="AKR28" s="381"/>
      <c r="AKS28" s="381"/>
      <c r="AKT28" s="381"/>
      <c r="AKU28" s="381"/>
      <c r="AKV28" s="381"/>
      <c r="AKW28" s="381"/>
      <c r="AKX28" s="381"/>
      <c r="AKY28" s="381"/>
      <c r="AKZ28" s="381"/>
      <c r="ALA28" s="381"/>
      <c r="ALB28" s="381"/>
      <c r="ALC28" s="381"/>
    </row>
    <row r="29" spans="1:991" s="400" customFormat="1" ht="150" customHeight="1" thickBot="1" x14ac:dyDescent="0.3">
      <c r="A29" s="381"/>
      <c r="B29" s="360"/>
      <c r="C29" s="361" t="e">
        <f>J29-#REF!</f>
        <v>#REF!</v>
      </c>
      <c r="D29" s="362" t="s">
        <v>478</v>
      </c>
      <c r="E29" s="382"/>
      <c r="F29" s="383"/>
      <c r="G29" s="384"/>
      <c r="H29" s="385" t="s">
        <v>112</v>
      </c>
      <c r="I29" s="386" t="s">
        <v>479</v>
      </c>
      <c r="J29" s="387">
        <v>1200000</v>
      </c>
      <c r="K29" s="388">
        <v>0</v>
      </c>
      <c r="L29" s="389">
        <v>400000</v>
      </c>
      <c r="M29" s="390">
        <v>600000</v>
      </c>
      <c r="N29" s="390">
        <v>200000</v>
      </c>
      <c r="O29" s="391">
        <v>0</v>
      </c>
      <c r="P29" s="389"/>
      <c r="Q29" s="390"/>
      <c r="R29" s="390"/>
      <c r="S29" s="392"/>
      <c r="T29" s="393"/>
      <c r="U29" s="389"/>
      <c r="V29" s="390"/>
      <c r="W29" s="390"/>
      <c r="X29" s="390"/>
      <c r="Y29" s="390"/>
      <c r="Z29" s="390"/>
      <c r="AA29" s="390"/>
      <c r="AB29" s="392"/>
      <c r="AC29" s="392"/>
      <c r="AD29" s="392"/>
      <c r="AE29" s="392"/>
      <c r="AF29" s="390"/>
      <c r="AG29" s="392"/>
      <c r="AH29" s="394"/>
      <c r="AI29" s="393"/>
      <c r="AJ29" s="389"/>
      <c r="AK29" s="390"/>
      <c r="AL29" s="395"/>
      <c r="AM29" s="376">
        <v>0</v>
      </c>
      <c r="AN29" s="395">
        <v>400000</v>
      </c>
      <c r="AO29" s="376">
        <v>800000</v>
      </c>
      <c r="AP29" s="396"/>
      <c r="AQ29" s="390">
        <v>1200000</v>
      </c>
      <c r="AR29" s="390"/>
      <c r="AS29" s="390">
        <v>0</v>
      </c>
      <c r="AT29" s="392"/>
      <c r="AU29" s="392"/>
      <c r="AV29" s="390"/>
      <c r="AW29" s="392"/>
      <c r="AX29" s="393"/>
      <c r="AY29" s="389"/>
      <c r="AZ29" s="397"/>
      <c r="BA29" s="398"/>
      <c r="BB29" s="399"/>
      <c r="BC29" s="381"/>
      <c r="BD29" s="381"/>
      <c r="BE29" s="381"/>
      <c r="BF29" s="381"/>
      <c r="BG29" s="381"/>
      <c r="BH29" s="381"/>
      <c r="BI29" s="381"/>
      <c r="BJ29" s="381"/>
      <c r="BK29" s="381"/>
      <c r="BL29" s="381"/>
      <c r="BM29" s="381"/>
      <c r="BN29" s="381"/>
      <c r="BO29" s="381"/>
      <c r="BP29" s="381"/>
      <c r="BQ29" s="381"/>
      <c r="BR29" s="381"/>
      <c r="BS29" s="381"/>
      <c r="BT29" s="381"/>
      <c r="BU29" s="381"/>
      <c r="BV29" s="381"/>
      <c r="BW29" s="381"/>
      <c r="BX29" s="381"/>
      <c r="BY29" s="381"/>
      <c r="BZ29" s="381"/>
      <c r="CA29" s="381"/>
      <c r="CB29" s="381"/>
      <c r="CC29" s="381"/>
      <c r="CD29" s="381"/>
      <c r="CE29" s="381"/>
      <c r="CF29" s="381"/>
      <c r="CG29" s="381"/>
      <c r="CH29" s="381"/>
      <c r="CI29" s="381"/>
      <c r="CJ29" s="381"/>
      <c r="CK29" s="381"/>
      <c r="CL29" s="381"/>
      <c r="CM29" s="381"/>
      <c r="CN29" s="381"/>
      <c r="CO29" s="381"/>
      <c r="CP29" s="381"/>
      <c r="CQ29" s="381"/>
      <c r="CR29" s="381"/>
      <c r="CS29" s="381"/>
      <c r="CT29" s="381"/>
      <c r="CU29" s="381"/>
      <c r="CV29" s="381"/>
      <c r="CW29" s="381"/>
      <c r="CX29" s="381"/>
      <c r="CY29" s="381"/>
      <c r="CZ29" s="381"/>
      <c r="DA29" s="381"/>
      <c r="DB29" s="381"/>
      <c r="DC29" s="381"/>
      <c r="DD29" s="381"/>
      <c r="DE29" s="381"/>
      <c r="DF29" s="381"/>
      <c r="DG29" s="381"/>
      <c r="DH29" s="381"/>
      <c r="DI29" s="381"/>
      <c r="DJ29" s="381"/>
      <c r="DK29" s="381"/>
      <c r="DL29" s="381"/>
      <c r="DM29" s="381"/>
      <c r="DN29" s="381"/>
      <c r="DO29" s="381"/>
      <c r="DP29" s="381"/>
      <c r="DQ29" s="381"/>
      <c r="DR29" s="381"/>
      <c r="DS29" s="381"/>
      <c r="DT29" s="381"/>
      <c r="DU29" s="381"/>
      <c r="DV29" s="381"/>
      <c r="DW29" s="381"/>
      <c r="DX29" s="381"/>
      <c r="DY29" s="381"/>
      <c r="DZ29" s="381"/>
      <c r="EA29" s="381"/>
      <c r="EB29" s="381"/>
      <c r="EC29" s="381"/>
      <c r="ED29" s="381"/>
      <c r="EE29" s="381"/>
      <c r="EF29" s="381"/>
      <c r="EG29" s="381"/>
      <c r="EH29" s="381"/>
      <c r="EI29" s="381"/>
      <c r="EJ29" s="381"/>
      <c r="EK29" s="381"/>
      <c r="EL29" s="381"/>
      <c r="EM29" s="381"/>
      <c r="EN29" s="381"/>
      <c r="EO29" s="381"/>
      <c r="EP29" s="381"/>
      <c r="EQ29" s="381"/>
      <c r="ER29" s="381"/>
      <c r="ES29" s="381"/>
      <c r="ET29" s="381"/>
      <c r="EU29" s="381"/>
      <c r="EV29" s="381"/>
      <c r="EW29" s="381"/>
      <c r="EX29" s="381"/>
      <c r="EY29" s="381"/>
      <c r="EZ29" s="381"/>
      <c r="FA29" s="381"/>
      <c r="FB29" s="381"/>
      <c r="FC29" s="381"/>
      <c r="FD29" s="381"/>
      <c r="FE29" s="381"/>
      <c r="FF29" s="381"/>
      <c r="FG29" s="381"/>
      <c r="FH29" s="381"/>
      <c r="FI29" s="381"/>
      <c r="FJ29" s="381"/>
      <c r="FK29" s="381"/>
      <c r="FL29" s="381"/>
      <c r="FM29" s="381"/>
      <c r="FN29" s="381"/>
      <c r="FO29" s="381"/>
      <c r="FP29" s="381"/>
      <c r="FQ29" s="381"/>
      <c r="FR29" s="381"/>
      <c r="FS29" s="381"/>
      <c r="FT29" s="381"/>
      <c r="FU29" s="381"/>
      <c r="FV29" s="381"/>
      <c r="FW29" s="381"/>
      <c r="FX29" s="381"/>
      <c r="FY29" s="381"/>
      <c r="FZ29" s="381"/>
      <c r="GA29" s="381"/>
      <c r="GB29" s="381"/>
      <c r="GC29" s="381"/>
      <c r="GD29" s="381"/>
      <c r="GE29" s="381"/>
      <c r="GF29" s="381"/>
      <c r="GG29" s="381"/>
      <c r="GH29" s="381"/>
      <c r="GI29" s="381"/>
      <c r="GJ29" s="381"/>
      <c r="GK29" s="381"/>
      <c r="GL29" s="381"/>
      <c r="GM29" s="381"/>
      <c r="GN29" s="381"/>
      <c r="GO29" s="381"/>
      <c r="GP29" s="381"/>
      <c r="GQ29" s="381"/>
      <c r="GR29" s="381"/>
      <c r="GS29" s="381"/>
      <c r="GT29" s="381"/>
      <c r="GU29" s="381"/>
      <c r="GV29" s="381"/>
      <c r="GW29" s="381"/>
      <c r="GX29" s="381"/>
      <c r="GY29" s="381"/>
      <c r="GZ29" s="381"/>
      <c r="HA29" s="381"/>
      <c r="HB29" s="381"/>
      <c r="HC29" s="381"/>
      <c r="HD29" s="381"/>
      <c r="HE29" s="381"/>
      <c r="HF29" s="381"/>
      <c r="HG29" s="381"/>
      <c r="HH29" s="381"/>
      <c r="HI29" s="381"/>
      <c r="HJ29" s="381"/>
      <c r="HK29" s="381"/>
      <c r="HL29" s="381"/>
      <c r="HM29" s="381"/>
      <c r="HN29" s="381"/>
      <c r="HO29" s="381"/>
      <c r="HP29" s="381"/>
      <c r="HQ29" s="381"/>
      <c r="HR29" s="381"/>
      <c r="HS29" s="381"/>
      <c r="HT29" s="381"/>
      <c r="HU29" s="381"/>
      <c r="HV29" s="381"/>
      <c r="HW29" s="381"/>
      <c r="HX29" s="381"/>
      <c r="HY29" s="381"/>
      <c r="HZ29" s="381"/>
      <c r="IA29" s="381"/>
      <c r="IB29" s="381"/>
      <c r="IC29" s="381"/>
      <c r="ID29" s="381"/>
      <c r="IE29" s="381"/>
      <c r="IF29" s="381"/>
      <c r="IG29" s="381"/>
      <c r="IH29" s="381"/>
      <c r="II29" s="381"/>
      <c r="IJ29" s="381"/>
      <c r="IK29" s="381"/>
      <c r="IL29" s="381"/>
      <c r="IM29" s="381"/>
      <c r="IN29" s="381"/>
      <c r="IO29" s="381"/>
      <c r="IP29" s="381"/>
      <c r="IQ29" s="381"/>
      <c r="IR29" s="381"/>
      <c r="IS29" s="381"/>
      <c r="IT29" s="381"/>
      <c r="IU29" s="381"/>
      <c r="IV29" s="381"/>
      <c r="IW29" s="381"/>
      <c r="IX29" s="381"/>
      <c r="IY29" s="381"/>
      <c r="IZ29" s="381"/>
      <c r="JA29" s="381"/>
      <c r="JB29" s="381"/>
      <c r="JC29" s="381"/>
      <c r="JD29" s="381"/>
      <c r="JE29" s="381"/>
      <c r="JF29" s="381"/>
      <c r="JG29" s="381"/>
      <c r="JH29" s="381"/>
      <c r="JI29" s="381"/>
      <c r="JJ29" s="381"/>
      <c r="JK29" s="381"/>
      <c r="JL29" s="381"/>
      <c r="JM29" s="381"/>
      <c r="JN29" s="381"/>
      <c r="JO29" s="381"/>
      <c r="JP29" s="381"/>
      <c r="JQ29" s="381"/>
      <c r="JR29" s="381"/>
      <c r="JS29" s="381"/>
      <c r="JT29" s="381"/>
      <c r="JU29" s="381"/>
      <c r="JV29" s="381"/>
      <c r="JW29" s="381"/>
      <c r="JX29" s="381"/>
      <c r="JY29" s="381"/>
      <c r="JZ29" s="381"/>
      <c r="KA29" s="381"/>
      <c r="KB29" s="381"/>
      <c r="KC29" s="381"/>
      <c r="KD29" s="381"/>
      <c r="KE29" s="381"/>
      <c r="KF29" s="381"/>
      <c r="KG29" s="381"/>
      <c r="KH29" s="381"/>
      <c r="KI29" s="381"/>
      <c r="KJ29" s="381"/>
      <c r="KK29" s="381"/>
      <c r="KL29" s="381"/>
      <c r="KM29" s="381"/>
      <c r="KN29" s="381"/>
      <c r="KO29" s="381"/>
      <c r="KP29" s="381"/>
      <c r="KQ29" s="381"/>
      <c r="KR29" s="381"/>
      <c r="KS29" s="381"/>
      <c r="KT29" s="381"/>
      <c r="KU29" s="381"/>
      <c r="KV29" s="381"/>
      <c r="KW29" s="381"/>
      <c r="KX29" s="381"/>
      <c r="KY29" s="381"/>
      <c r="KZ29" s="381"/>
      <c r="LA29" s="381"/>
      <c r="LB29" s="381"/>
      <c r="LC29" s="381"/>
      <c r="LD29" s="381"/>
      <c r="LE29" s="381"/>
      <c r="LF29" s="381"/>
      <c r="LG29" s="381"/>
      <c r="LH29" s="381"/>
      <c r="LI29" s="381"/>
      <c r="LJ29" s="381"/>
      <c r="LK29" s="381"/>
      <c r="LL29" s="381"/>
      <c r="LM29" s="381"/>
      <c r="LN29" s="381"/>
      <c r="LO29" s="381"/>
      <c r="LP29" s="381"/>
      <c r="LQ29" s="381"/>
      <c r="LR29" s="381"/>
      <c r="LS29" s="381"/>
      <c r="LT29" s="381"/>
      <c r="LU29" s="381"/>
      <c r="LV29" s="381"/>
      <c r="LW29" s="381"/>
      <c r="LX29" s="381"/>
      <c r="LY29" s="381"/>
      <c r="LZ29" s="381"/>
      <c r="MA29" s="381"/>
      <c r="MB29" s="381"/>
      <c r="MC29" s="381"/>
      <c r="MD29" s="381"/>
      <c r="ME29" s="381"/>
      <c r="MF29" s="381"/>
      <c r="MG29" s="381"/>
      <c r="MH29" s="381"/>
      <c r="MI29" s="381"/>
      <c r="MJ29" s="381"/>
      <c r="MK29" s="381"/>
      <c r="ML29" s="381"/>
      <c r="MM29" s="381"/>
      <c r="MN29" s="381"/>
      <c r="MO29" s="381"/>
      <c r="MP29" s="381"/>
      <c r="MQ29" s="381"/>
      <c r="MR29" s="381"/>
      <c r="MS29" s="381"/>
      <c r="MT29" s="381"/>
      <c r="MU29" s="381"/>
      <c r="MV29" s="381"/>
      <c r="MW29" s="381"/>
      <c r="MX29" s="381"/>
      <c r="MY29" s="381"/>
      <c r="MZ29" s="381"/>
      <c r="NA29" s="381"/>
      <c r="NB29" s="381"/>
      <c r="NC29" s="381"/>
      <c r="ND29" s="381"/>
      <c r="NE29" s="381"/>
      <c r="NF29" s="381"/>
      <c r="NG29" s="381"/>
      <c r="NH29" s="381"/>
      <c r="NI29" s="381"/>
      <c r="NJ29" s="381"/>
      <c r="NK29" s="381"/>
      <c r="NL29" s="381"/>
      <c r="NM29" s="381"/>
      <c r="NN29" s="381"/>
      <c r="NO29" s="381"/>
      <c r="NP29" s="381"/>
      <c r="NQ29" s="381"/>
      <c r="NR29" s="381"/>
      <c r="NS29" s="381"/>
      <c r="NT29" s="381"/>
      <c r="NU29" s="381"/>
      <c r="NV29" s="381"/>
      <c r="NW29" s="381"/>
      <c r="NX29" s="381"/>
      <c r="NY29" s="381"/>
      <c r="NZ29" s="381"/>
      <c r="OA29" s="381"/>
      <c r="OB29" s="381"/>
      <c r="OC29" s="381"/>
      <c r="OD29" s="381"/>
      <c r="OE29" s="381"/>
      <c r="OF29" s="381"/>
      <c r="OG29" s="381"/>
      <c r="OH29" s="381"/>
      <c r="OI29" s="381"/>
      <c r="OJ29" s="381"/>
      <c r="OK29" s="381"/>
      <c r="OL29" s="381"/>
      <c r="OM29" s="381"/>
      <c r="ON29" s="381"/>
      <c r="OO29" s="381"/>
      <c r="OP29" s="381"/>
      <c r="OQ29" s="381"/>
      <c r="OR29" s="381"/>
      <c r="OS29" s="381"/>
      <c r="OT29" s="381"/>
      <c r="OU29" s="381"/>
      <c r="OV29" s="381"/>
      <c r="OW29" s="381"/>
      <c r="OX29" s="381"/>
      <c r="OY29" s="381"/>
      <c r="OZ29" s="381"/>
      <c r="PA29" s="381"/>
      <c r="PB29" s="381"/>
      <c r="PC29" s="381"/>
      <c r="PD29" s="381"/>
      <c r="PE29" s="381"/>
      <c r="PF29" s="381"/>
      <c r="PG29" s="381"/>
      <c r="PH29" s="381"/>
      <c r="PI29" s="381"/>
      <c r="PJ29" s="381"/>
      <c r="PK29" s="381"/>
      <c r="PL29" s="381"/>
      <c r="PM29" s="381"/>
      <c r="PN29" s="381"/>
      <c r="PO29" s="381"/>
      <c r="PP29" s="381"/>
      <c r="PQ29" s="381"/>
      <c r="PR29" s="381"/>
      <c r="PS29" s="381"/>
      <c r="PT29" s="381"/>
      <c r="PU29" s="381"/>
      <c r="PV29" s="381"/>
      <c r="PW29" s="381"/>
      <c r="PX29" s="381"/>
      <c r="PY29" s="381"/>
      <c r="PZ29" s="381"/>
      <c r="QA29" s="381"/>
      <c r="QB29" s="381"/>
      <c r="QC29" s="381"/>
      <c r="QD29" s="381"/>
      <c r="QE29" s="381"/>
      <c r="QF29" s="381"/>
      <c r="QG29" s="381"/>
      <c r="QH29" s="381"/>
      <c r="QI29" s="381"/>
      <c r="QJ29" s="381"/>
      <c r="QK29" s="381"/>
      <c r="QL29" s="381"/>
      <c r="QM29" s="381"/>
      <c r="QN29" s="381"/>
      <c r="QO29" s="381"/>
      <c r="QP29" s="381"/>
      <c r="QQ29" s="381"/>
      <c r="QR29" s="381"/>
      <c r="QS29" s="381"/>
      <c r="QT29" s="381"/>
      <c r="QU29" s="381"/>
      <c r="QV29" s="381"/>
      <c r="QW29" s="381"/>
      <c r="QX29" s="381"/>
      <c r="QY29" s="381"/>
      <c r="QZ29" s="381"/>
      <c r="RA29" s="381"/>
      <c r="RB29" s="381"/>
      <c r="RC29" s="381"/>
      <c r="RD29" s="381"/>
      <c r="RE29" s="381"/>
      <c r="RF29" s="381"/>
      <c r="RG29" s="381"/>
      <c r="RH29" s="381"/>
      <c r="RI29" s="381"/>
      <c r="RJ29" s="381"/>
      <c r="RK29" s="381"/>
      <c r="RL29" s="381"/>
      <c r="RM29" s="381"/>
      <c r="RN29" s="381"/>
      <c r="RO29" s="381"/>
      <c r="RP29" s="381"/>
      <c r="RQ29" s="381"/>
      <c r="RR29" s="381"/>
      <c r="RS29" s="381"/>
      <c r="RT29" s="381"/>
      <c r="RU29" s="381"/>
      <c r="RV29" s="381"/>
      <c r="RW29" s="381"/>
      <c r="RX29" s="381"/>
      <c r="RY29" s="381"/>
      <c r="RZ29" s="381"/>
      <c r="SA29" s="381"/>
      <c r="SB29" s="381"/>
      <c r="SC29" s="381"/>
      <c r="SD29" s="381"/>
      <c r="SE29" s="381"/>
      <c r="SF29" s="381"/>
      <c r="SG29" s="381"/>
      <c r="SH29" s="381"/>
      <c r="SI29" s="381"/>
      <c r="SJ29" s="381"/>
      <c r="SK29" s="381"/>
      <c r="SL29" s="381"/>
      <c r="SM29" s="381"/>
      <c r="SN29" s="381"/>
      <c r="SO29" s="381"/>
      <c r="SP29" s="381"/>
      <c r="SQ29" s="381"/>
      <c r="SR29" s="381"/>
      <c r="SS29" s="381"/>
      <c r="ST29" s="381"/>
      <c r="SU29" s="381"/>
      <c r="SV29" s="381"/>
      <c r="SW29" s="381"/>
      <c r="SX29" s="381"/>
      <c r="SY29" s="381"/>
      <c r="SZ29" s="381"/>
      <c r="TA29" s="381"/>
      <c r="TB29" s="381"/>
      <c r="TC29" s="381"/>
      <c r="TD29" s="381"/>
      <c r="TE29" s="381"/>
      <c r="TF29" s="381"/>
      <c r="TG29" s="381"/>
      <c r="TH29" s="381"/>
      <c r="TI29" s="381"/>
      <c r="TJ29" s="381"/>
      <c r="TK29" s="381"/>
      <c r="TL29" s="381"/>
      <c r="TM29" s="381"/>
      <c r="TN29" s="381"/>
      <c r="TO29" s="381"/>
      <c r="TP29" s="381"/>
      <c r="TQ29" s="381"/>
      <c r="TR29" s="381"/>
      <c r="TS29" s="381"/>
      <c r="TT29" s="381"/>
      <c r="TU29" s="381"/>
      <c r="TV29" s="381"/>
      <c r="TW29" s="381"/>
      <c r="TX29" s="381"/>
      <c r="TY29" s="381"/>
      <c r="TZ29" s="381"/>
      <c r="UA29" s="381"/>
      <c r="UB29" s="381"/>
      <c r="UC29" s="381"/>
      <c r="UD29" s="381"/>
      <c r="UE29" s="381"/>
      <c r="UF29" s="381"/>
      <c r="UG29" s="381"/>
      <c r="UH29" s="381"/>
      <c r="UI29" s="381"/>
      <c r="UJ29" s="381"/>
      <c r="UK29" s="381"/>
      <c r="UL29" s="381"/>
      <c r="UM29" s="381"/>
      <c r="UN29" s="381"/>
      <c r="UO29" s="381"/>
      <c r="UP29" s="381"/>
      <c r="UQ29" s="381"/>
      <c r="UR29" s="381"/>
      <c r="US29" s="381"/>
      <c r="UT29" s="381"/>
      <c r="UU29" s="381"/>
      <c r="UV29" s="381"/>
      <c r="UW29" s="381"/>
      <c r="UX29" s="381"/>
      <c r="UY29" s="381"/>
      <c r="UZ29" s="381"/>
      <c r="VA29" s="381"/>
      <c r="VB29" s="381"/>
      <c r="VC29" s="381"/>
      <c r="VD29" s="381"/>
      <c r="VE29" s="381"/>
      <c r="VF29" s="381"/>
      <c r="VG29" s="381"/>
      <c r="VH29" s="381"/>
      <c r="VI29" s="381"/>
      <c r="VJ29" s="381"/>
      <c r="VK29" s="381"/>
      <c r="VL29" s="381"/>
      <c r="VM29" s="381"/>
      <c r="VN29" s="381"/>
      <c r="VO29" s="381"/>
      <c r="VP29" s="381"/>
      <c r="VQ29" s="381"/>
      <c r="VR29" s="381"/>
      <c r="VS29" s="381"/>
      <c r="VT29" s="381"/>
      <c r="VU29" s="381"/>
      <c r="VV29" s="381"/>
      <c r="VW29" s="381"/>
      <c r="VX29" s="381"/>
      <c r="VY29" s="381"/>
      <c r="VZ29" s="381"/>
      <c r="WA29" s="381"/>
      <c r="WB29" s="381"/>
      <c r="WC29" s="381"/>
      <c r="WD29" s="381"/>
      <c r="WE29" s="381"/>
      <c r="WF29" s="381"/>
      <c r="WG29" s="381"/>
      <c r="WH29" s="381"/>
      <c r="WI29" s="381"/>
      <c r="WJ29" s="381"/>
      <c r="WK29" s="381"/>
      <c r="WL29" s="381"/>
      <c r="WM29" s="381"/>
      <c r="WN29" s="381"/>
      <c r="WO29" s="381"/>
      <c r="WP29" s="381"/>
      <c r="WQ29" s="381"/>
      <c r="WR29" s="381"/>
      <c r="WS29" s="381"/>
      <c r="WT29" s="381"/>
      <c r="WU29" s="381"/>
      <c r="WV29" s="381"/>
      <c r="WW29" s="381"/>
      <c r="WX29" s="381"/>
      <c r="WY29" s="381"/>
      <c r="WZ29" s="381"/>
      <c r="XA29" s="381"/>
      <c r="XB29" s="381"/>
      <c r="XC29" s="381"/>
      <c r="XD29" s="381"/>
      <c r="XE29" s="381"/>
      <c r="XF29" s="381"/>
      <c r="XG29" s="381"/>
      <c r="XH29" s="381"/>
      <c r="XI29" s="381"/>
      <c r="XJ29" s="381"/>
      <c r="XK29" s="381"/>
      <c r="XL29" s="381"/>
      <c r="XM29" s="381"/>
      <c r="XN29" s="381"/>
      <c r="XO29" s="381"/>
      <c r="XP29" s="381"/>
      <c r="XQ29" s="381"/>
      <c r="XR29" s="381"/>
      <c r="XS29" s="381"/>
      <c r="XT29" s="381"/>
      <c r="XU29" s="381"/>
      <c r="XV29" s="381"/>
      <c r="XW29" s="381"/>
      <c r="XX29" s="381"/>
      <c r="XY29" s="381"/>
      <c r="XZ29" s="381"/>
      <c r="YA29" s="381"/>
      <c r="YB29" s="381"/>
      <c r="YC29" s="381"/>
      <c r="YD29" s="381"/>
      <c r="YE29" s="381"/>
      <c r="YF29" s="381"/>
      <c r="YG29" s="381"/>
      <c r="YH29" s="381"/>
      <c r="YI29" s="381"/>
      <c r="YJ29" s="381"/>
      <c r="YK29" s="381"/>
      <c r="YL29" s="381"/>
      <c r="YM29" s="381"/>
      <c r="YN29" s="381"/>
      <c r="YO29" s="381"/>
      <c r="YP29" s="381"/>
      <c r="YQ29" s="381"/>
      <c r="YR29" s="381"/>
      <c r="YS29" s="381"/>
      <c r="YT29" s="381"/>
      <c r="YU29" s="381"/>
      <c r="YV29" s="381"/>
      <c r="YW29" s="381"/>
      <c r="YX29" s="381"/>
      <c r="YY29" s="381"/>
      <c r="YZ29" s="381"/>
      <c r="ZA29" s="381"/>
      <c r="ZB29" s="381"/>
      <c r="ZC29" s="381"/>
      <c r="ZD29" s="381"/>
      <c r="ZE29" s="381"/>
      <c r="ZF29" s="381"/>
      <c r="ZG29" s="381"/>
      <c r="ZH29" s="381"/>
      <c r="ZI29" s="381"/>
      <c r="ZJ29" s="381"/>
      <c r="ZK29" s="381"/>
      <c r="ZL29" s="381"/>
      <c r="ZM29" s="381"/>
      <c r="ZN29" s="381"/>
      <c r="ZO29" s="381"/>
      <c r="ZP29" s="381"/>
      <c r="ZQ29" s="381"/>
      <c r="ZR29" s="381"/>
      <c r="ZS29" s="381"/>
      <c r="ZT29" s="381"/>
      <c r="ZU29" s="381"/>
      <c r="ZV29" s="381"/>
      <c r="ZW29" s="381"/>
      <c r="ZX29" s="381"/>
      <c r="ZY29" s="381"/>
      <c r="ZZ29" s="381"/>
      <c r="AAA29" s="381"/>
      <c r="AAB29" s="381"/>
      <c r="AAC29" s="381"/>
      <c r="AAD29" s="381"/>
      <c r="AAE29" s="381"/>
      <c r="AAF29" s="381"/>
      <c r="AAG29" s="381"/>
      <c r="AAH29" s="381"/>
      <c r="AAI29" s="381"/>
      <c r="AAJ29" s="381"/>
      <c r="AAK29" s="381"/>
      <c r="AAL29" s="381"/>
      <c r="AAM29" s="381"/>
      <c r="AAN29" s="381"/>
      <c r="AAO29" s="381"/>
      <c r="AAP29" s="381"/>
      <c r="AAQ29" s="381"/>
      <c r="AAR29" s="381"/>
      <c r="AAS29" s="381"/>
      <c r="AAT29" s="381"/>
      <c r="AAU29" s="381"/>
      <c r="AAV29" s="381"/>
      <c r="AAW29" s="381"/>
      <c r="AAX29" s="381"/>
      <c r="AAY29" s="381"/>
      <c r="AAZ29" s="381"/>
      <c r="ABA29" s="381"/>
      <c r="ABB29" s="381"/>
      <c r="ABC29" s="381"/>
      <c r="ABD29" s="381"/>
      <c r="ABE29" s="381"/>
      <c r="ABF29" s="381"/>
      <c r="ABG29" s="381"/>
      <c r="ABH29" s="381"/>
      <c r="ABI29" s="381"/>
      <c r="ABJ29" s="381"/>
      <c r="ABK29" s="381"/>
      <c r="ABL29" s="381"/>
      <c r="ABM29" s="381"/>
      <c r="ABN29" s="381"/>
      <c r="ABO29" s="381"/>
      <c r="ABP29" s="381"/>
      <c r="ABQ29" s="381"/>
      <c r="ABR29" s="381"/>
      <c r="ABS29" s="381"/>
      <c r="ABT29" s="381"/>
      <c r="ABU29" s="381"/>
      <c r="ABV29" s="381"/>
      <c r="ABW29" s="381"/>
      <c r="ABX29" s="381"/>
      <c r="ABY29" s="381"/>
      <c r="ABZ29" s="381"/>
      <c r="ACA29" s="381"/>
      <c r="ACB29" s="381"/>
      <c r="ACC29" s="381"/>
      <c r="ACD29" s="381"/>
      <c r="ACE29" s="381"/>
      <c r="ACF29" s="381"/>
      <c r="ACG29" s="381"/>
      <c r="ACH29" s="381"/>
      <c r="ACI29" s="381"/>
      <c r="ACJ29" s="381"/>
      <c r="ACK29" s="381"/>
      <c r="ACL29" s="381"/>
      <c r="ACM29" s="381"/>
      <c r="ACN29" s="381"/>
      <c r="ACO29" s="381"/>
      <c r="ACP29" s="381"/>
      <c r="ACQ29" s="381"/>
      <c r="ACR29" s="381"/>
      <c r="ACS29" s="381"/>
      <c r="ACT29" s="381"/>
      <c r="ACU29" s="381"/>
      <c r="ACV29" s="381"/>
      <c r="ACW29" s="381"/>
      <c r="ACX29" s="381"/>
      <c r="ACY29" s="381"/>
      <c r="ACZ29" s="381"/>
      <c r="ADA29" s="381"/>
      <c r="ADB29" s="381"/>
      <c r="ADC29" s="381"/>
      <c r="ADD29" s="381"/>
      <c r="ADE29" s="381"/>
      <c r="ADF29" s="381"/>
      <c r="ADG29" s="381"/>
      <c r="ADH29" s="381"/>
      <c r="ADI29" s="381"/>
      <c r="ADJ29" s="381"/>
      <c r="ADK29" s="381"/>
      <c r="ADL29" s="381"/>
      <c r="ADM29" s="381"/>
      <c r="ADN29" s="381"/>
      <c r="ADO29" s="381"/>
      <c r="ADP29" s="381"/>
      <c r="ADQ29" s="381"/>
      <c r="ADR29" s="381"/>
      <c r="ADS29" s="381"/>
      <c r="ADT29" s="381"/>
      <c r="ADU29" s="381"/>
      <c r="ADV29" s="381"/>
      <c r="ADW29" s="381"/>
      <c r="ADX29" s="381"/>
      <c r="ADY29" s="381"/>
      <c r="ADZ29" s="381"/>
      <c r="AEA29" s="381"/>
      <c r="AEB29" s="381"/>
      <c r="AEC29" s="381"/>
      <c r="AED29" s="381"/>
      <c r="AEE29" s="381"/>
      <c r="AEF29" s="381"/>
      <c r="AEG29" s="381"/>
      <c r="AEH29" s="381"/>
      <c r="AEI29" s="381"/>
      <c r="AEJ29" s="381"/>
      <c r="AEK29" s="381"/>
      <c r="AEL29" s="381"/>
      <c r="AEM29" s="381"/>
      <c r="AEN29" s="381"/>
      <c r="AEO29" s="381"/>
      <c r="AEP29" s="381"/>
      <c r="AEQ29" s="381"/>
      <c r="AER29" s="381"/>
      <c r="AES29" s="381"/>
      <c r="AET29" s="381"/>
      <c r="AEU29" s="381"/>
      <c r="AEV29" s="381"/>
      <c r="AEW29" s="381"/>
      <c r="AEX29" s="381"/>
      <c r="AEY29" s="381"/>
      <c r="AEZ29" s="381"/>
      <c r="AFA29" s="381"/>
      <c r="AFB29" s="381"/>
      <c r="AFC29" s="381"/>
      <c r="AFD29" s="381"/>
      <c r="AFE29" s="381"/>
      <c r="AFF29" s="381"/>
      <c r="AFG29" s="381"/>
      <c r="AFH29" s="381"/>
      <c r="AFI29" s="381"/>
      <c r="AFJ29" s="381"/>
      <c r="AFK29" s="381"/>
      <c r="AFL29" s="381"/>
      <c r="AFM29" s="381"/>
      <c r="AFN29" s="381"/>
      <c r="AFO29" s="381"/>
      <c r="AFP29" s="381"/>
      <c r="AFQ29" s="381"/>
      <c r="AFR29" s="381"/>
      <c r="AFS29" s="381"/>
      <c r="AFT29" s="381"/>
      <c r="AFU29" s="381"/>
      <c r="AFV29" s="381"/>
      <c r="AFW29" s="381"/>
      <c r="AFX29" s="381"/>
      <c r="AFY29" s="381"/>
      <c r="AFZ29" s="381"/>
      <c r="AGA29" s="381"/>
      <c r="AGB29" s="381"/>
      <c r="AGC29" s="381"/>
      <c r="AGD29" s="381"/>
      <c r="AGE29" s="381"/>
      <c r="AGF29" s="381"/>
      <c r="AGG29" s="381"/>
      <c r="AGH29" s="381"/>
      <c r="AGI29" s="381"/>
      <c r="AGJ29" s="381"/>
      <c r="AGK29" s="381"/>
      <c r="AGL29" s="381"/>
      <c r="AGM29" s="381"/>
      <c r="AGN29" s="381"/>
      <c r="AGO29" s="381"/>
      <c r="AGP29" s="381"/>
      <c r="AGQ29" s="381"/>
      <c r="AGR29" s="381"/>
      <c r="AGS29" s="381"/>
      <c r="AGT29" s="381"/>
      <c r="AGU29" s="381"/>
      <c r="AGV29" s="381"/>
      <c r="AGW29" s="381"/>
      <c r="AGX29" s="381"/>
      <c r="AGY29" s="381"/>
      <c r="AGZ29" s="381"/>
      <c r="AHA29" s="381"/>
      <c r="AHB29" s="381"/>
      <c r="AHC29" s="381"/>
      <c r="AHD29" s="381"/>
      <c r="AHE29" s="381"/>
      <c r="AHF29" s="381"/>
      <c r="AHG29" s="381"/>
      <c r="AHH29" s="381"/>
      <c r="AHI29" s="381"/>
      <c r="AHJ29" s="381"/>
      <c r="AHK29" s="381"/>
      <c r="AHL29" s="381"/>
      <c r="AHM29" s="381"/>
      <c r="AHN29" s="381"/>
      <c r="AHO29" s="381"/>
      <c r="AHP29" s="381"/>
      <c r="AHQ29" s="381"/>
      <c r="AHR29" s="381"/>
      <c r="AHS29" s="381"/>
      <c r="AHT29" s="381"/>
      <c r="AHU29" s="381"/>
      <c r="AHV29" s="381"/>
      <c r="AHW29" s="381"/>
      <c r="AHX29" s="381"/>
      <c r="AHY29" s="381"/>
      <c r="AHZ29" s="381"/>
      <c r="AIA29" s="381"/>
      <c r="AIB29" s="381"/>
      <c r="AIC29" s="381"/>
      <c r="AID29" s="381"/>
      <c r="AIE29" s="381"/>
      <c r="AIF29" s="381"/>
      <c r="AIG29" s="381"/>
      <c r="AIH29" s="381"/>
      <c r="AII29" s="381"/>
      <c r="AIJ29" s="381"/>
      <c r="AIK29" s="381"/>
      <c r="AIL29" s="381"/>
      <c r="AIM29" s="381"/>
      <c r="AIN29" s="381"/>
      <c r="AIO29" s="381"/>
      <c r="AIP29" s="381"/>
      <c r="AIQ29" s="381"/>
      <c r="AIR29" s="381"/>
      <c r="AIS29" s="381"/>
      <c r="AIT29" s="381"/>
      <c r="AIU29" s="381"/>
      <c r="AIV29" s="381"/>
      <c r="AIW29" s="381"/>
      <c r="AIX29" s="381"/>
      <c r="AIY29" s="381"/>
      <c r="AIZ29" s="381"/>
      <c r="AJA29" s="381"/>
      <c r="AJB29" s="381"/>
      <c r="AJC29" s="381"/>
      <c r="AJD29" s="381"/>
      <c r="AJE29" s="381"/>
      <c r="AJF29" s="381"/>
      <c r="AJG29" s="381"/>
      <c r="AJH29" s="381"/>
      <c r="AJI29" s="381"/>
      <c r="AJJ29" s="381"/>
      <c r="AJK29" s="381"/>
      <c r="AJL29" s="381"/>
      <c r="AJM29" s="381"/>
      <c r="AJN29" s="381"/>
      <c r="AJO29" s="381"/>
      <c r="AJP29" s="381"/>
      <c r="AJQ29" s="381"/>
      <c r="AJR29" s="381"/>
      <c r="AJS29" s="381"/>
      <c r="AJT29" s="381"/>
      <c r="AJU29" s="381"/>
      <c r="AJV29" s="381"/>
      <c r="AJW29" s="381"/>
      <c r="AJX29" s="381"/>
      <c r="AJY29" s="381"/>
      <c r="AJZ29" s="381"/>
      <c r="AKA29" s="381"/>
      <c r="AKB29" s="381"/>
      <c r="AKC29" s="381"/>
      <c r="AKD29" s="381"/>
      <c r="AKE29" s="381"/>
      <c r="AKF29" s="381"/>
      <c r="AKG29" s="381"/>
      <c r="AKH29" s="381"/>
      <c r="AKI29" s="381"/>
      <c r="AKJ29" s="381"/>
      <c r="AKK29" s="381"/>
      <c r="AKL29" s="381"/>
      <c r="AKM29" s="381"/>
      <c r="AKN29" s="381"/>
      <c r="AKO29" s="381"/>
      <c r="AKP29" s="381"/>
      <c r="AKQ29" s="381"/>
      <c r="AKR29" s="381"/>
      <c r="AKS29" s="381"/>
      <c r="AKT29" s="381"/>
      <c r="AKU29" s="381"/>
      <c r="AKV29" s="381"/>
      <c r="AKW29" s="381"/>
      <c r="AKX29" s="381"/>
      <c r="AKY29" s="381"/>
      <c r="AKZ29" s="381"/>
      <c r="ALA29" s="381"/>
      <c r="ALB29" s="381"/>
      <c r="ALC29" s="381"/>
    </row>
    <row r="30" spans="1:991" s="400" customFormat="1" ht="121.5" customHeight="1" thickBot="1" x14ac:dyDescent="0.3">
      <c r="A30" s="381"/>
      <c r="B30" s="360"/>
      <c r="C30" s="361" t="e">
        <f>J30-#REF!</f>
        <v>#REF!</v>
      </c>
      <c r="D30" s="362" t="s">
        <v>480</v>
      </c>
      <c r="E30" s="382"/>
      <c r="F30" s="383">
        <v>607</v>
      </c>
      <c r="G30" s="384"/>
      <c r="H30" s="385" t="s">
        <v>112</v>
      </c>
      <c r="I30" s="386" t="s">
        <v>481</v>
      </c>
      <c r="J30" s="387">
        <v>500000</v>
      </c>
      <c r="K30" s="388">
        <v>0</v>
      </c>
      <c r="L30" s="389">
        <v>400000</v>
      </c>
      <c r="M30" s="390">
        <v>100000</v>
      </c>
      <c r="N30" s="390">
        <v>0</v>
      </c>
      <c r="O30" s="391">
        <v>0</v>
      </c>
      <c r="P30" s="389"/>
      <c r="Q30" s="390"/>
      <c r="R30" s="390"/>
      <c r="S30" s="392"/>
      <c r="T30" s="393"/>
      <c r="U30" s="389"/>
      <c r="V30" s="390"/>
      <c r="W30" s="390"/>
      <c r="X30" s="390"/>
      <c r="Y30" s="390"/>
      <c r="Z30" s="390"/>
      <c r="AA30" s="390"/>
      <c r="AB30" s="392"/>
      <c r="AC30" s="392"/>
      <c r="AD30" s="392"/>
      <c r="AE30" s="392"/>
      <c r="AF30" s="390"/>
      <c r="AG30" s="392"/>
      <c r="AH30" s="394"/>
      <c r="AI30" s="393"/>
      <c r="AJ30" s="389"/>
      <c r="AK30" s="390"/>
      <c r="AL30" s="395"/>
      <c r="AM30" s="376">
        <v>0</v>
      </c>
      <c r="AN30" s="395">
        <v>400000</v>
      </c>
      <c r="AO30" s="376">
        <v>100000</v>
      </c>
      <c r="AP30" s="396"/>
      <c r="AQ30" s="390">
        <v>500000</v>
      </c>
      <c r="AR30" s="390"/>
      <c r="AS30" s="390">
        <v>0</v>
      </c>
      <c r="AT30" s="392"/>
      <c r="AU30" s="392"/>
      <c r="AV30" s="390"/>
      <c r="AW30" s="392"/>
      <c r="AX30" s="393"/>
      <c r="AY30" s="389"/>
      <c r="AZ30" s="397"/>
      <c r="BA30" s="398"/>
      <c r="BB30" s="399"/>
      <c r="BC30" s="381"/>
      <c r="BD30" s="381"/>
      <c r="BE30" s="381"/>
      <c r="BF30" s="381"/>
      <c r="BG30" s="381"/>
      <c r="BH30" s="381"/>
      <c r="BI30" s="381"/>
      <c r="BJ30" s="381"/>
      <c r="BK30" s="381"/>
      <c r="BL30" s="381"/>
      <c r="BM30" s="381"/>
      <c r="BN30" s="381"/>
      <c r="BO30" s="381"/>
      <c r="BP30" s="381"/>
      <c r="BQ30" s="381"/>
      <c r="BR30" s="381"/>
      <c r="BS30" s="381"/>
      <c r="BT30" s="381"/>
      <c r="BU30" s="381"/>
      <c r="BV30" s="381"/>
      <c r="BW30" s="381"/>
      <c r="BX30" s="381"/>
      <c r="BY30" s="381"/>
      <c r="BZ30" s="381"/>
      <c r="CA30" s="381"/>
      <c r="CB30" s="381"/>
      <c r="CC30" s="381"/>
      <c r="CD30" s="381"/>
      <c r="CE30" s="381"/>
      <c r="CF30" s="381"/>
      <c r="CG30" s="381"/>
      <c r="CH30" s="381"/>
      <c r="CI30" s="381"/>
      <c r="CJ30" s="381"/>
      <c r="CK30" s="381"/>
      <c r="CL30" s="381"/>
      <c r="CM30" s="381"/>
      <c r="CN30" s="381"/>
      <c r="CO30" s="381"/>
      <c r="CP30" s="381"/>
      <c r="CQ30" s="381"/>
      <c r="CR30" s="381"/>
      <c r="CS30" s="381"/>
      <c r="CT30" s="381"/>
      <c r="CU30" s="381"/>
      <c r="CV30" s="381"/>
      <c r="CW30" s="381"/>
      <c r="CX30" s="381"/>
      <c r="CY30" s="381"/>
      <c r="CZ30" s="381"/>
      <c r="DA30" s="381"/>
      <c r="DB30" s="381"/>
      <c r="DC30" s="381"/>
      <c r="DD30" s="381"/>
      <c r="DE30" s="381"/>
      <c r="DF30" s="381"/>
      <c r="DG30" s="381"/>
      <c r="DH30" s="381"/>
      <c r="DI30" s="381"/>
      <c r="DJ30" s="381"/>
      <c r="DK30" s="381"/>
      <c r="DL30" s="381"/>
      <c r="DM30" s="381"/>
      <c r="DN30" s="381"/>
      <c r="DO30" s="381"/>
      <c r="DP30" s="381"/>
      <c r="DQ30" s="381"/>
      <c r="DR30" s="381"/>
      <c r="DS30" s="381"/>
      <c r="DT30" s="381"/>
      <c r="DU30" s="381"/>
      <c r="DV30" s="381"/>
      <c r="DW30" s="381"/>
      <c r="DX30" s="381"/>
      <c r="DY30" s="381"/>
      <c r="DZ30" s="381"/>
      <c r="EA30" s="381"/>
      <c r="EB30" s="381"/>
      <c r="EC30" s="381"/>
      <c r="ED30" s="381"/>
      <c r="EE30" s="381"/>
      <c r="EF30" s="381"/>
      <c r="EG30" s="381"/>
      <c r="EH30" s="381"/>
      <c r="EI30" s="381"/>
      <c r="EJ30" s="381"/>
      <c r="EK30" s="381"/>
      <c r="EL30" s="381"/>
      <c r="EM30" s="381"/>
      <c r="EN30" s="381"/>
      <c r="EO30" s="381"/>
      <c r="EP30" s="381"/>
      <c r="EQ30" s="381"/>
      <c r="ER30" s="381"/>
      <c r="ES30" s="381"/>
      <c r="ET30" s="381"/>
      <c r="EU30" s="381"/>
      <c r="EV30" s="381"/>
      <c r="EW30" s="381"/>
      <c r="EX30" s="381"/>
      <c r="EY30" s="381"/>
      <c r="EZ30" s="381"/>
      <c r="FA30" s="381"/>
      <c r="FB30" s="381"/>
      <c r="FC30" s="381"/>
      <c r="FD30" s="381"/>
      <c r="FE30" s="381"/>
      <c r="FF30" s="381"/>
      <c r="FG30" s="381"/>
      <c r="FH30" s="381"/>
      <c r="FI30" s="381"/>
      <c r="FJ30" s="381"/>
      <c r="FK30" s="381"/>
      <c r="FL30" s="381"/>
      <c r="FM30" s="381"/>
      <c r="FN30" s="381"/>
      <c r="FO30" s="381"/>
      <c r="FP30" s="381"/>
      <c r="FQ30" s="381"/>
      <c r="FR30" s="381"/>
      <c r="FS30" s="381"/>
      <c r="FT30" s="381"/>
      <c r="FU30" s="381"/>
      <c r="FV30" s="381"/>
      <c r="FW30" s="381"/>
      <c r="FX30" s="381"/>
      <c r="FY30" s="381"/>
      <c r="FZ30" s="381"/>
      <c r="GA30" s="381"/>
      <c r="GB30" s="381"/>
      <c r="GC30" s="381"/>
      <c r="GD30" s="381"/>
      <c r="GE30" s="381"/>
      <c r="GF30" s="381"/>
      <c r="GG30" s="381"/>
      <c r="GH30" s="381"/>
      <c r="GI30" s="381"/>
      <c r="GJ30" s="381"/>
      <c r="GK30" s="381"/>
      <c r="GL30" s="381"/>
      <c r="GM30" s="381"/>
      <c r="GN30" s="381"/>
      <c r="GO30" s="381"/>
      <c r="GP30" s="381"/>
      <c r="GQ30" s="381"/>
      <c r="GR30" s="381"/>
      <c r="GS30" s="381"/>
      <c r="GT30" s="381"/>
      <c r="GU30" s="381"/>
      <c r="GV30" s="381"/>
      <c r="GW30" s="381"/>
      <c r="GX30" s="381"/>
      <c r="GY30" s="381"/>
      <c r="GZ30" s="381"/>
      <c r="HA30" s="381"/>
      <c r="HB30" s="381"/>
      <c r="HC30" s="381"/>
      <c r="HD30" s="381"/>
      <c r="HE30" s="381"/>
      <c r="HF30" s="381"/>
      <c r="HG30" s="381"/>
      <c r="HH30" s="381"/>
      <c r="HI30" s="381"/>
      <c r="HJ30" s="381"/>
      <c r="HK30" s="381"/>
      <c r="HL30" s="381"/>
      <c r="HM30" s="381"/>
      <c r="HN30" s="381"/>
      <c r="HO30" s="381"/>
      <c r="HP30" s="381"/>
      <c r="HQ30" s="381"/>
      <c r="HR30" s="381"/>
      <c r="HS30" s="381"/>
      <c r="HT30" s="381"/>
      <c r="HU30" s="381"/>
      <c r="HV30" s="381"/>
      <c r="HW30" s="381"/>
      <c r="HX30" s="381"/>
      <c r="HY30" s="381"/>
      <c r="HZ30" s="381"/>
      <c r="IA30" s="381"/>
      <c r="IB30" s="381"/>
      <c r="IC30" s="381"/>
      <c r="ID30" s="381"/>
      <c r="IE30" s="381"/>
      <c r="IF30" s="381"/>
      <c r="IG30" s="381"/>
      <c r="IH30" s="381"/>
      <c r="II30" s="381"/>
      <c r="IJ30" s="381"/>
      <c r="IK30" s="381"/>
      <c r="IL30" s="381"/>
      <c r="IM30" s="381"/>
      <c r="IN30" s="381"/>
      <c r="IO30" s="381"/>
      <c r="IP30" s="381"/>
      <c r="IQ30" s="381"/>
      <c r="IR30" s="381"/>
      <c r="IS30" s="381"/>
      <c r="IT30" s="381"/>
      <c r="IU30" s="381"/>
      <c r="IV30" s="381"/>
      <c r="IW30" s="381"/>
      <c r="IX30" s="381"/>
      <c r="IY30" s="381"/>
      <c r="IZ30" s="381"/>
      <c r="JA30" s="381"/>
      <c r="JB30" s="381"/>
      <c r="JC30" s="381"/>
      <c r="JD30" s="381"/>
      <c r="JE30" s="381"/>
      <c r="JF30" s="381"/>
      <c r="JG30" s="381"/>
      <c r="JH30" s="381"/>
      <c r="JI30" s="381"/>
      <c r="JJ30" s="381"/>
      <c r="JK30" s="381"/>
      <c r="JL30" s="381"/>
      <c r="JM30" s="381"/>
      <c r="JN30" s="381"/>
      <c r="JO30" s="381"/>
      <c r="JP30" s="381"/>
      <c r="JQ30" s="381"/>
      <c r="JR30" s="381"/>
      <c r="JS30" s="381"/>
      <c r="JT30" s="381"/>
      <c r="JU30" s="381"/>
      <c r="JV30" s="381"/>
      <c r="JW30" s="381"/>
      <c r="JX30" s="381"/>
      <c r="JY30" s="381"/>
      <c r="JZ30" s="381"/>
      <c r="KA30" s="381"/>
      <c r="KB30" s="381"/>
      <c r="KC30" s="381"/>
      <c r="KD30" s="381"/>
      <c r="KE30" s="381"/>
      <c r="KF30" s="381"/>
      <c r="KG30" s="381"/>
      <c r="KH30" s="381"/>
      <c r="KI30" s="381"/>
      <c r="KJ30" s="381"/>
      <c r="KK30" s="381"/>
      <c r="KL30" s="381"/>
      <c r="KM30" s="381"/>
      <c r="KN30" s="381"/>
      <c r="KO30" s="381"/>
      <c r="KP30" s="381"/>
      <c r="KQ30" s="381"/>
      <c r="KR30" s="381"/>
      <c r="KS30" s="381"/>
      <c r="KT30" s="381"/>
      <c r="KU30" s="381"/>
      <c r="KV30" s="381"/>
      <c r="KW30" s="381"/>
      <c r="KX30" s="381"/>
      <c r="KY30" s="381"/>
      <c r="KZ30" s="381"/>
      <c r="LA30" s="381"/>
      <c r="LB30" s="381"/>
      <c r="LC30" s="381"/>
      <c r="LD30" s="381"/>
      <c r="LE30" s="381"/>
      <c r="LF30" s="381"/>
      <c r="LG30" s="381"/>
      <c r="LH30" s="381"/>
      <c r="LI30" s="381"/>
      <c r="LJ30" s="381"/>
      <c r="LK30" s="381"/>
      <c r="LL30" s="381"/>
      <c r="LM30" s="381"/>
      <c r="LN30" s="381"/>
      <c r="LO30" s="381"/>
      <c r="LP30" s="381"/>
      <c r="LQ30" s="381"/>
      <c r="LR30" s="381"/>
      <c r="LS30" s="381"/>
      <c r="LT30" s="381"/>
      <c r="LU30" s="381"/>
      <c r="LV30" s="381"/>
      <c r="LW30" s="381"/>
      <c r="LX30" s="381"/>
      <c r="LY30" s="381"/>
      <c r="LZ30" s="381"/>
      <c r="MA30" s="381"/>
      <c r="MB30" s="381"/>
      <c r="MC30" s="381"/>
      <c r="MD30" s="381"/>
      <c r="ME30" s="381"/>
      <c r="MF30" s="381"/>
      <c r="MG30" s="381"/>
      <c r="MH30" s="381"/>
      <c r="MI30" s="381"/>
      <c r="MJ30" s="381"/>
      <c r="MK30" s="381"/>
      <c r="ML30" s="381"/>
      <c r="MM30" s="381"/>
      <c r="MN30" s="381"/>
      <c r="MO30" s="381"/>
      <c r="MP30" s="381"/>
      <c r="MQ30" s="381"/>
      <c r="MR30" s="381"/>
      <c r="MS30" s="381"/>
      <c r="MT30" s="381"/>
      <c r="MU30" s="381"/>
      <c r="MV30" s="381"/>
      <c r="MW30" s="381"/>
      <c r="MX30" s="381"/>
      <c r="MY30" s="381"/>
      <c r="MZ30" s="381"/>
      <c r="NA30" s="381"/>
      <c r="NB30" s="381"/>
      <c r="NC30" s="381"/>
      <c r="ND30" s="381"/>
      <c r="NE30" s="381"/>
      <c r="NF30" s="381"/>
      <c r="NG30" s="381"/>
      <c r="NH30" s="381"/>
      <c r="NI30" s="381"/>
      <c r="NJ30" s="381"/>
      <c r="NK30" s="381"/>
      <c r="NL30" s="381"/>
      <c r="NM30" s="381"/>
      <c r="NN30" s="381"/>
      <c r="NO30" s="381"/>
      <c r="NP30" s="381"/>
      <c r="NQ30" s="381"/>
      <c r="NR30" s="381"/>
      <c r="NS30" s="381"/>
      <c r="NT30" s="381"/>
      <c r="NU30" s="381"/>
      <c r="NV30" s="381"/>
      <c r="NW30" s="381"/>
      <c r="NX30" s="381"/>
      <c r="NY30" s="381"/>
      <c r="NZ30" s="381"/>
      <c r="OA30" s="381"/>
      <c r="OB30" s="381"/>
      <c r="OC30" s="381"/>
      <c r="OD30" s="381"/>
      <c r="OE30" s="381"/>
      <c r="OF30" s="381"/>
      <c r="OG30" s="381"/>
      <c r="OH30" s="381"/>
      <c r="OI30" s="381"/>
      <c r="OJ30" s="381"/>
      <c r="OK30" s="381"/>
      <c r="OL30" s="381"/>
      <c r="OM30" s="381"/>
      <c r="ON30" s="381"/>
      <c r="OO30" s="381"/>
      <c r="OP30" s="381"/>
      <c r="OQ30" s="381"/>
      <c r="OR30" s="381"/>
      <c r="OS30" s="381"/>
      <c r="OT30" s="381"/>
      <c r="OU30" s="381"/>
      <c r="OV30" s="381"/>
      <c r="OW30" s="381"/>
      <c r="OX30" s="381"/>
      <c r="OY30" s="381"/>
      <c r="OZ30" s="381"/>
      <c r="PA30" s="381"/>
      <c r="PB30" s="381"/>
      <c r="PC30" s="381"/>
      <c r="PD30" s="381"/>
      <c r="PE30" s="381"/>
      <c r="PF30" s="381"/>
      <c r="PG30" s="381"/>
      <c r="PH30" s="381"/>
      <c r="PI30" s="381"/>
      <c r="PJ30" s="381"/>
      <c r="PK30" s="381"/>
      <c r="PL30" s="381"/>
      <c r="PM30" s="381"/>
      <c r="PN30" s="381"/>
      <c r="PO30" s="381"/>
      <c r="PP30" s="381"/>
      <c r="PQ30" s="381"/>
      <c r="PR30" s="381"/>
      <c r="PS30" s="381"/>
      <c r="PT30" s="381"/>
      <c r="PU30" s="381"/>
      <c r="PV30" s="381"/>
      <c r="PW30" s="381"/>
      <c r="PX30" s="381"/>
      <c r="PY30" s="381"/>
      <c r="PZ30" s="381"/>
      <c r="QA30" s="381"/>
      <c r="QB30" s="381"/>
      <c r="QC30" s="381"/>
      <c r="QD30" s="381"/>
      <c r="QE30" s="381"/>
      <c r="QF30" s="381"/>
      <c r="QG30" s="381"/>
      <c r="QH30" s="381"/>
      <c r="QI30" s="381"/>
      <c r="QJ30" s="381"/>
      <c r="QK30" s="381"/>
      <c r="QL30" s="381"/>
      <c r="QM30" s="381"/>
      <c r="QN30" s="381"/>
      <c r="QO30" s="381"/>
      <c r="QP30" s="381"/>
      <c r="QQ30" s="381"/>
      <c r="QR30" s="381"/>
      <c r="QS30" s="381"/>
      <c r="QT30" s="381"/>
      <c r="QU30" s="381"/>
      <c r="QV30" s="381"/>
      <c r="QW30" s="381"/>
      <c r="QX30" s="381"/>
      <c r="QY30" s="381"/>
      <c r="QZ30" s="381"/>
      <c r="RA30" s="381"/>
      <c r="RB30" s="381"/>
      <c r="RC30" s="381"/>
      <c r="RD30" s="381"/>
      <c r="RE30" s="381"/>
      <c r="RF30" s="381"/>
      <c r="RG30" s="381"/>
      <c r="RH30" s="381"/>
      <c r="RI30" s="381"/>
      <c r="RJ30" s="381"/>
      <c r="RK30" s="381"/>
      <c r="RL30" s="381"/>
      <c r="RM30" s="381"/>
      <c r="RN30" s="381"/>
      <c r="RO30" s="381"/>
      <c r="RP30" s="381"/>
      <c r="RQ30" s="381"/>
      <c r="RR30" s="381"/>
      <c r="RS30" s="381"/>
      <c r="RT30" s="381"/>
      <c r="RU30" s="381"/>
      <c r="RV30" s="381"/>
      <c r="RW30" s="381"/>
      <c r="RX30" s="381"/>
      <c r="RY30" s="381"/>
      <c r="RZ30" s="381"/>
      <c r="SA30" s="381"/>
      <c r="SB30" s="381"/>
      <c r="SC30" s="381"/>
      <c r="SD30" s="381"/>
      <c r="SE30" s="381"/>
      <c r="SF30" s="381"/>
      <c r="SG30" s="381"/>
      <c r="SH30" s="381"/>
      <c r="SI30" s="381"/>
      <c r="SJ30" s="381"/>
      <c r="SK30" s="381"/>
      <c r="SL30" s="381"/>
      <c r="SM30" s="381"/>
      <c r="SN30" s="381"/>
      <c r="SO30" s="381"/>
      <c r="SP30" s="381"/>
      <c r="SQ30" s="381"/>
      <c r="SR30" s="381"/>
      <c r="SS30" s="381"/>
      <c r="ST30" s="381"/>
      <c r="SU30" s="381"/>
      <c r="SV30" s="381"/>
      <c r="SW30" s="381"/>
      <c r="SX30" s="381"/>
      <c r="SY30" s="381"/>
      <c r="SZ30" s="381"/>
      <c r="TA30" s="381"/>
      <c r="TB30" s="381"/>
      <c r="TC30" s="381"/>
      <c r="TD30" s="381"/>
      <c r="TE30" s="381"/>
      <c r="TF30" s="381"/>
      <c r="TG30" s="381"/>
      <c r="TH30" s="381"/>
      <c r="TI30" s="381"/>
      <c r="TJ30" s="381"/>
      <c r="TK30" s="381"/>
      <c r="TL30" s="381"/>
      <c r="TM30" s="381"/>
      <c r="TN30" s="381"/>
      <c r="TO30" s="381"/>
      <c r="TP30" s="381"/>
      <c r="TQ30" s="381"/>
      <c r="TR30" s="381"/>
      <c r="TS30" s="381"/>
      <c r="TT30" s="381"/>
      <c r="TU30" s="381"/>
      <c r="TV30" s="381"/>
      <c r="TW30" s="381"/>
      <c r="TX30" s="381"/>
      <c r="TY30" s="381"/>
      <c r="TZ30" s="381"/>
      <c r="UA30" s="381"/>
      <c r="UB30" s="381"/>
      <c r="UC30" s="381"/>
      <c r="UD30" s="381"/>
      <c r="UE30" s="381"/>
      <c r="UF30" s="381"/>
      <c r="UG30" s="381"/>
      <c r="UH30" s="381"/>
      <c r="UI30" s="381"/>
      <c r="UJ30" s="381"/>
      <c r="UK30" s="381"/>
      <c r="UL30" s="381"/>
      <c r="UM30" s="381"/>
      <c r="UN30" s="381"/>
      <c r="UO30" s="381"/>
      <c r="UP30" s="381"/>
      <c r="UQ30" s="381"/>
      <c r="UR30" s="381"/>
      <c r="US30" s="381"/>
      <c r="UT30" s="381"/>
      <c r="UU30" s="381"/>
      <c r="UV30" s="381"/>
      <c r="UW30" s="381"/>
      <c r="UX30" s="381"/>
      <c r="UY30" s="381"/>
      <c r="UZ30" s="381"/>
      <c r="VA30" s="381"/>
      <c r="VB30" s="381"/>
      <c r="VC30" s="381"/>
      <c r="VD30" s="381"/>
      <c r="VE30" s="381"/>
      <c r="VF30" s="381"/>
      <c r="VG30" s="381"/>
      <c r="VH30" s="381"/>
      <c r="VI30" s="381"/>
      <c r="VJ30" s="381"/>
      <c r="VK30" s="381"/>
      <c r="VL30" s="381"/>
      <c r="VM30" s="381"/>
      <c r="VN30" s="381"/>
      <c r="VO30" s="381"/>
      <c r="VP30" s="381"/>
      <c r="VQ30" s="381"/>
      <c r="VR30" s="381"/>
      <c r="VS30" s="381"/>
      <c r="VT30" s="381"/>
      <c r="VU30" s="381"/>
      <c r="VV30" s="381"/>
      <c r="VW30" s="381"/>
      <c r="VX30" s="381"/>
      <c r="VY30" s="381"/>
      <c r="VZ30" s="381"/>
      <c r="WA30" s="381"/>
      <c r="WB30" s="381"/>
      <c r="WC30" s="381"/>
      <c r="WD30" s="381"/>
      <c r="WE30" s="381"/>
      <c r="WF30" s="381"/>
      <c r="WG30" s="381"/>
      <c r="WH30" s="381"/>
      <c r="WI30" s="381"/>
      <c r="WJ30" s="381"/>
      <c r="WK30" s="381"/>
      <c r="WL30" s="381"/>
      <c r="WM30" s="381"/>
      <c r="WN30" s="381"/>
      <c r="WO30" s="381"/>
      <c r="WP30" s="381"/>
      <c r="WQ30" s="381"/>
      <c r="WR30" s="381"/>
      <c r="WS30" s="381"/>
      <c r="WT30" s="381"/>
      <c r="WU30" s="381"/>
      <c r="WV30" s="381"/>
      <c r="WW30" s="381"/>
      <c r="WX30" s="381"/>
      <c r="WY30" s="381"/>
      <c r="WZ30" s="381"/>
      <c r="XA30" s="381"/>
      <c r="XB30" s="381"/>
      <c r="XC30" s="381"/>
      <c r="XD30" s="381"/>
      <c r="XE30" s="381"/>
      <c r="XF30" s="381"/>
      <c r="XG30" s="381"/>
      <c r="XH30" s="381"/>
      <c r="XI30" s="381"/>
      <c r="XJ30" s="381"/>
      <c r="XK30" s="381"/>
      <c r="XL30" s="381"/>
      <c r="XM30" s="381"/>
      <c r="XN30" s="381"/>
      <c r="XO30" s="381"/>
      <c r="XP30" s="381"/>
      <c r="XQ30" s="381"/>
      <c r="XR30" s="381"/>
      <c r="XS30" s="381"/>
      <c r="XT30" s="381"/>
      <c r="XU30" s="381"/>
      <c r="XV30" s="381"/>
      <c r="XW30" s="381"/>
      <c r="XX30" s="381"/>
      <c r="XY30" s="381"/>
      <c r="XZ30" s="381"/>
      <c r="YA30" s="381"/>
      <c r="YB30" s="381"/>
      <c r="YC30" s="381"/>
      <c r="YD30" s="381"/>
      <c r="YE30" s="381"/>
      <c r="YF30" s="381"/>
      <c r="YG30" s="381"/>
      <c r="YH30" s="381"/>
      <c r="YI30" s="381"/>
      <c r="YJ30" s="381"/>
      <c r="YK30" s="381"/>
      <c r="YL30" s="381"/>
      <c r="YM30" s="381"/>
      <c r="YN30" s="381"/>
      <c r="YO30" s="381"/>
      <c r="YP30" s="381"/>
      <c r="YQ30" s="381"/>
      <c r="YR30" s="381"/>
      <c r="YS30" s="381"/>
      <c r="YT30" s="381"/>
      <c r="YU30" s="381"/>
      <c r="YV30" s="381"/>
      <c r="YW30" s="381"/>
      <c r="YX30" s="381"/>
      <c r="YY30" s="381"/>
      <c r="YZ30" s="381"/>
      <c r="ZA30" s="381"/>
      <c r="ZB30" s="381"/>
      <c r="ZC30" s="381"/>
      <c r="ZD30" s="381"/>
      <c r="ZE30" s="381"/>
      <c r="ZF30" s="381"/>
      <c r="ZG30" s="381"/>
      <c r="ZH30" s="381"/>
      <c r="ZI30" s="381"/>
      <c r="ZJ30" s="381"/>
      <c r="ZK30" s="381"/>
      <c r="ZL30" s="381"/>
      <c r="ZM30" s="381"/>
      <c r="ZN30" s="381"/>
      <c r="ZO30" s="381"/>
      <c r="ZP30" s="381"/>
      <c r="ZQ30" s="381"/>
      <c r="ZR30" s="381"/>
      <c r="ZS30" s="381"/>
      <c r="ZT30" s="381"/>
      <c r="ZU30" s="381"/>
      <c r="ZV30" s="381"/>
      <c r="ZW30" s="381"/>
      <c r="ZX30" s="381"/>
      <c r="ZY30" s="381"/>
      <c r="ZZ30" s="381"/>
      <c r="AAA30" s="381"/>
      <c r="AAB30" s="381"/>
      <c r="AAC30" s="381"/>
      <c r="AAD30" s="381"/>
      <c r="AAE30" s="381"/>
      <c r="AAF30" s="381"/>
      <c r="AAG30" s="381"/>
      <c r="AAH30" s="381"/>
      <c r="AAI30" s="381"/>
      <c r="AAJ30" s="381"/>
      <c r="AAK30" s="381"/>
      <c r="AAL30" s="381"/>
      <c r="AAM30" s="381"/>
      <c r="AAN30" s="381"/>
      <c r="AAO30" s="381"/>
      <c r="AAP30" s="381"/>
      <c r="AAQ30" s="381"/>
      <c r="AAR30" s="381"/>
      <c r="AAS30" s="381"/>
      <c r="AAT30" s="381"/>
      <c r="AAU30" s="381"/>
      <c r="AAV30" s="381"/>
      <c r="AAW30" s="381"/>
      <c r="AAX30" s="381"/>
      <c r="AAY30" s="381"/>
      <c r="AAZ30" s="381"/>
      <c r="ABA30" s="381"/>
      <c r="ABB30" s="381"/>
      <c r="ABC30" s="381"/>
      <c r="ABD30" s="381"/>
      <c r="ABE30" s="381"/>
      <c r="ABF30" s="381"/>
      <c r="ABG30" s="381"/>
      <c r="ABH30" s="381"/>
      <c r="ABI30" s="381"/>
      <c r="ABJ30" s="381"/>
      <c r="ABK30" s="381"/>
      <c r="ABL30" s="381"/>
      <c r="ABM30" s="381"/>
      <c r="ABN30" s="381"/>
      <c r="ABO30" s="381"/>
      <c r="ABP30" s="381"/>
      <c r="ABQ30" s="381"/>
      <c r="ABR30" s="381"/>
      <c r="ABS30" s="381"/>
      <c r="ABT30" s="381"/>
      <c r="ABU30" s="381"/>
      <c r="ABV30" s="381"/>
      <c r="ABW30" s="381"/>
      <c r="ABX30" s="381"/>
      <c r="ABY30" s="381"/>
      <c r="ABZ30" s="381"/>
      <c r="ACA30" s="381"/>
      <c r="ACB30" s="381"/>
      <c r="ACC30" s="381"/>
      <c r="ACD30" s="381"/>
      <c r="ACE30" s="381"/>
      <c r="ACF30" s="381"/>
      <c r="ACG30" s="381"/>
      <c r="ACH30" s="381"/>
      <c r="ACI30" s="381"/>
      <c r="ACJ30" s="381"/>
      <c r="ACK30" s="381"/>
      <c r="ACL30" s="381"/>
      <c r="ACM30" s="381"/>
      <c r="ACN30" s="381"/>
      <c r="ACO30" s="381"/>
      <c r="ACP30" s="381"/>
      <c r="ACQ30" s="381"/>
      <c r="ACR30" s="381"/>
      <c r="ACS30" s="381"/>
      <c r="ACT30" s="381"/>
      <c r="ACU30" s="381"/>
      <c r="ACV30" s="381"/>
      <c r="ACW30" s="381"/>
      <c r="ACX30" s="381"/>
      <c r="ACY30" s="381"/>
      <c r="ACZ30" s="381"/>
      <c r="ADA30" s="381"/>
      <c r="ADB30" s="381"/>
      <c r="ADC30" s="381"/>
      <c r="ADD30" s="381"/>
      <c r="ADE30" s="381"/>
      <c r="ADF30" s="381"/>
      <c r="ADG30" s="381"/>
      <c r="ADH30" s="381"/>
      <c r="ADI30" s="381"/>
      <c r="ADJ30" s="381"/>
      <c r="ADK30" s="381"/>
      <c r="ADL30" s="381"/>
      <c r="ADM30" s="381"/>
      <c r="ADN30" s="381"/>
      <c r="ADO30" s="381"/>
      <c r="ADP30" s="381"/>
      <c r="ADQ30" s="381"/>
      <c r="ADR30" s="381"/>
      <c r="ADS30" s="381"/>
      <c r="ADT30" s="381"/>
      <c r="ADU30" s="381"/>
      <c r="ADV30" s="381"/>
      <c r="ADW30" s="381"/>
      <c r="ADX30" s="381"/>
      <c r="ADY30" s="381"/>
      <c r="ADZ30" s="381"/>
      <c r="AEA30" s="381"/>
      <c r="AEB30" s="381"/>
      <c r="AEC30" s="381"/>
      <c r="AED30" s="381"/>
      <c r="AEE30" s="381"/>
      <c r="AEF30" s="381"/>
      <c r="AEG30" s="381"/>
      <c r="AEH30" s="381"/>
      <c r="AEI30" s="381"/>
      <c r="AEJ30" s="381"/>
      <c r="AEK30" s="381"/>
      <c r="AEL30" s="381"/>
      <c r="AEM30" s="381"/>
      <c r="AEN30" s="381"/>
      <c r="AEO30" s="381"/>
      <c r="AEP30" s="381"/>
      <c r="AEQ30" s="381"/>
      <c r="AER30" s="381"/>
      <c r="AES30" s="381"/>
      <c r="AET30" s="381"/>
      <c r="AEU30" s="381"/>
      <c r="AEV30" s="381"/>
      <c r="AEW30" s="381"/>
      <c r="AEX30" s="381"/>
      <c r="AEY30" s="381"/>
      <c r="AEZ30" s="381"/>
      <c r="AFA30" s="381"/>
      <c r="AFB30" s="381"/>
      <c r="AFC30" s="381"/>
      <c r="AFD30" s="381"/>
      <c r="AFE30" s="381"/>
      <c r="AFF30" s="381"/>
      <c r="AFG30" s="381"/>
      <c r="AFH30" s="381"/>
      <c r="AFI30" s="381"/>
      <c r="AFJ30" s="381"/>
      <c r="AFK30" s="381"/>
      <c r="AFL30" s="381"/>
      <c r="AFM30" s="381"/>
      <c r="AFN30" s="381"/>
      <c r="AFO30" s="381"/>
      <c r="AFP30" s="381"/>
      <c r="AFQ30" s="381"/>
      <c r="AFR30" s="381"/>
      <c r="AFS30" s="381"/>
      <c r="AFT30" s="381"/>
      <c r="AFU30" s="381"/>
      <c r="AFV30" s="381"/>
      <c r="AFW30" s="381"/>
      <c r="AFX30" s="381"/>
      <c r="AFY30" s="381"/>
      <c r="AFZ30" s="381"/>
      <c r="AGA30" s="381"/>
      <c r="AGB30" s="381"/>
      <c r="AGC30" s="381"/>
      <c r="AGD30" s="381"/>
      <c r="AGE30" s="381"/>
      <c r="AGF30" s="381"/>
      <c r="AGG30" s="381"/>
      <c r="AGH30" s="381"/>
      <c r="AGI30" s="381"/>
      <c r="AGJ30" s="381"/>
      <c r="AGK30" s="381"/>
      <c r="AGL30" s="381"/>
      <c r="AGM30" s="381"/>
      <c r="AGN30" s="381"/>
      <c r="AGO30" s="381"/>
      <c r="AGP30" s="381"/>
      <c r="AGQ30" s="381"/>
      <c r="AGR30" s="381"/>
      <c r="AGS30" s="381"/>
      <c r="AGT30" s="381"/>
      <c r="AGU30" s="381"/>
      <c r="AGV30" s="381"/>
      <c r="AGW30" s="381"/>
      <c r="AGX30" s="381"/>
      <c r="AGY30" s="381"/>
      <c r="AGZ30" s="381"/>
      <c r="AHA30" s="381"/>
      <c r="AHB30" s="381"/>
      <c r="AHC30" s="381"/>
      <c r="AHD30" s="381"/>
      <c r="AHE30" s="381"/>
      <c r="AHF30" s="381"/>
      <c r="AHG30" s="381"/>
      <c r="AHH30" s="381"/>
      <c r="AHI30" s="381"/>
      <c r="AHJ30" s="381"/>
      <c r="AHK30" s="381"/>
      <c r="AHL30" s="381"/>
      <c r="AHM30" s="381"/>
      <c r="AHN30" s="381"/>
      <c r="AHO30" s="381"/>
      <c r="AHP30" s="381"/>
      <c r="AHQ30" s="381"/>
      <c r="AHR30" s="381"/>
      <c r="AHS30" s="381"/>
      <c r="AHT30" s="381"/>
      <c r="AHU30" s="381"/>
      <c r="AHV30" s="381"/>
      <c r="AHW30" s="381"/>
      <c r="AHX30" s="381"/>
      <c r="AHY30" s="381"/>
      <c r="AHZ30" s="381"/>
      <c r="AIA30" s="381"/>
      <c r="AIB30" s="381"/>
      <c r="AIC30" s="381"/>
      <c r="AID30" s="381"/>
      <c r="AIE30" s="381"/>
      <c r="AIF30" s="381"/>
      <c r="AIG30" s="381"/>
      <c r="AIH30" s="381"/>
      <c r="AII30" s="381"/>
      <c r="AIJ30" s="381"/>
      <c r="AIK30" s="381"/>
      <c r="AIL30" s="381"/>
      <c r="AIM30" s="381"/>
      <c r="AIN30" s="381"/>
      <c r="AIO30" s="381"/>
      <c r="AIP30" s="381"/>
      <c r="AIQ30" s="381"/>
      <c r="AIR30" s="381"/>
      <c r="AIS30" s="381"/>
      <c r="AIT30" s="381"/>
      <c r="AIU30" s="381"/>
      <c r="AIV30" s="381"/>
      <c r="AIW30" s="381"/>
      <c r="AIX30" s="381"/>
      <c r="AIY30" s="381"/>
      <c r="AIZ30" s="381"/>
      <c r="AJA30" s="381"/>
      <c r="AJB30" s="381"/>
      <c r="AJC30" s="381"/>
      <c r="AJD30" s="381"/>
      <c r="AJE30" s="381"/>
      <c r="AJF30" s="381"/>
      <c r="AJG30" s="381"/>
      <c r="AJH30" s="381"/>
      <c r="AJI30" s="381"/>
      <c r="AJJ30" s="381"/>
      <c r="AJK30" s="381"/>
      <c r="AJL30" s="381"/>
      <c r="AJM30" s="381"/>
      <c r="AJN30" s="381"/>
      <c r="AJO30" s="381"/>
      <c r="AJP30" s="381"/>
      <c r="AJQ30" s="381"/>
      <c r="AJR30" s="381"/>
      <c r="AJS30" s="381"/>
      <c r="AJT30" s="381"/>
      <c r="AJU30" s="381"/>
      <c r="AJV30" s="381"/>
      <c r="AJW30" s="381"/>
      <c r="AJX30" s="381"/>
      <c r="AJY30" s="381"/>
      <c r="AJZ30" s="381"/>
      <c r="AKA30" s="381"/>
      <c r="AKB30" s="381"/>
      <c r="AKC30" s="381"/>
      <c r="AKD30" s="381"/>
      <c r="AKE30" s="381"/>
      <c r="AKF30" s="381"/>
      <c r="AKG30" s="381"/>
      <c r="AKH30" s="381"/>
      <c r="AKI30" s="381"/>
      <c r="AKJ30" s="381"/>
      <c r="AKK30" s="381"/>
      <c r="AKL30" s="381"/>
      <c r="AKM30" s="381"/>
      <c r="AKN30" s="381"/>
      <c r="AKO30" s="381"/>
      <c r="AKP30" s="381"/>
      <c r="AKQ30" s="381"/>
      <c r="AKR30" s="381"/>
      <c r="AKS30" s="381"/>
      <c r="AKT30" s="381"/>
      <c r="AKU30" s="381"/>
      <c r="AKV30" s="381"/>
      <c r="AKW30" s="381"/>
      <c r="AKX30" s="381"/>
      <c r="AKY30" s="381"/>
      <c r="AKZ30" s="381"/>
      <c r="ALA30" s="381"/>
      <c r="ALB30" s="381"/>
      <c r="ALC30" s="381"/>
    </row>
    <row r="31" spans="1:991" s="359" customFormat="1" ht="135" customHeight="1" thickBot="1" x14ac:dyDescent="0.25">
      <c r="B31" s="360"/>
      <c r="C31" s="361" t="e">
        <f>J31-#REF!</f>
        <v>#REF!</v>
      </c>
      <c r="D31" s="362" t="s">
        <v>482</v>
      </c>
      <c r="E31" s="382"/>
      <c r="F31" s="383"/>
      <c r="G31" s="384"/>
      <c r="H31" s="385" t="s">
        <v>112</v>
      </c>
      <c r="I31" s="386" t="s">
        <v>483</v>
      </c>
      <c r="J31" s="387">
        <v>400000</v>
      </c>
      <c r="K31" s="388">
        <v>0</v>
      </c>
      <c r="L31" s="389">
        <v>0</v>
      </c>
      <c r="M31" s="390">
        <v>0</v>
      </c>
      <c r="N31" s="390">
        <v>0</v>
      </c>
      <c r="O31" s="391">
        <v>400000</v>
      </c>
      <c r="P31" s="389"/>
      <c r="Q31" s="390"/>
      <c r="R31" s="390"/>
      <c r="S31" s="392"/>
      <c r="T31" s="393"/>
      <c r="U31" s="389"/>
      <c r="V31" s="390"/>
      <c r="W31" s="390"/>
      <c r="X31" s="390"/>
      <c r="Y31" s="390"/>
      <c r="Z31" s="390"/>
      <c r="AA31" s="390"/>
      <c r="AB31" s="392"/>
      <c r="AC31" s="392"/>
      <c r="AD31" s="392"/>
      <c r="AE31" s="392"/>
      <c r="AF31" s="390"/>
      <c r="AG31" s="392"/>
      <c r="AH31" s="394"/>
      <c r="AI31" s="393"/>
      <c r="AJ31" s="389"/>
      <c r="AK31" s="390"/>
      <c r="AL31" s="395"/>
      <c r="AM31" s="376">
        <v>0</v>
      </c>
      <c r="AN31" s="395"/>
      <c r="AO31" s="376">
        <v>0</v>
      </c>
      <c r="AP31" s="396"/>
      <c r="AQ31" s="390"/>
      <c r="AR31" s="390"/>
      <c r="AS31" s="390">
        <v>400000</v>
      </c>
      <c r="AT31" s="392"/>
      <c r="AU31" s="392"/>
      <c r="AV31" s="390"/>
      <c r="AW31" s="392"/>
      <c r="AX31" s="393"/>
      <c r="AY31" s="389"/>
      <c r="AZ31" s="397"/>
      <c r="BA31" s="398"/>
      <c r="BB31" s="399"/>
    </row>
    <row r="32" spans="1:991" s="400" customFormat="1" ht="130.5" customHeight="1" thickBot="1" x14ac:dyDescent="0.3">
      <c r="A32" s="381"/>
      <c r="B32" s="360"/>
      <c r="C32" s="361" t="e">
        <f>J32-#REF!</f>
        <v>#REF!</v>
      </c>
      <c r="D32" s="362" t="s">
        <v>484</v>
      </c>
      <c r="E32" s="382"/>
      <c r="F32" s="383">
        <v>607</v>
      </c>
      <c r="G32" s="384"/>
      <c r="H32" s="385" t="s">
        <v>112</v>
      </c>
      <c r="I32" s="386" t="s">
        <v>485</v>
      </c>
      <c r="J32" s="387">
        <v>500000</v>
      </c>
      <c r="K32" s="388">
        <v>0</v>
      </c>
      <c r="L32" s="389">
        <v>0</v>
      </c>
      <c r="M32" s="390">
        <v>300000</v>
      </c>
      <c r="N32" s="390">
        <v>200000</v>
      </c>
      <c r="O32" s="391">
        <v>0</v>
      </c>
      <c r="P32" s="389"/>
      <c r="Q32" s="390"/>
      <c r="R32" s="390"/>
      <c r="S32" s="392"/>
      <c r="T32" s="393"/>
      <c r="U32" s="389"/>
      <c r="V32" s="390"/>
      <c r="W32" s="390"/>
      <c r="X32" s="390"/>
      <c r="Y32" s="390"/>
      <c r="Z32" s="390"/>
      <c r="AA32" s="390"/>
      <c r="AB32" s="392"/>
      <c r="AC32" s="392"/>
      <c r="AD32" s="392"/>
      <c r="AE32" s="392"/>
      <c r="AF32" s="390"/>
      <c r="AG32" s="392"/>
      <c r="AH32" s="394"/>
      <c r="AI32" s="393"/>
      <c r="AJ32" s="389"/>
      <c r="AK32" s="390"/>
      <c r="AL32" s="395"/>
      <c r="AM32" s="376">
        <v>0</v>
      </c>
      <c r="AN32" s="395">
        <v>0</v>
      </c>
      <c r="AO32" s="376">
        <v>500000</v>
      </c>
      <c r="AP32" s="396"/>
      <c r="AQ32" s="390">
        <v>500000</v>
      </c>
      <c r="AR32" s="390"/>
      <c r="AS32" s="390">
        <v>0</v>
      </c>
      <c r="AT32" s="392"/>
      <c r="AU32" s="392"/>
      <c r="AV32" s="390"/>
      <c r="AW32" s="392"/>
      <c r="AX32" s="393"/>
      <c r="AY32" s="389"/>
      <c r="AZ32" s="397"/>
      <c r="BA32" s="398"/>
      <c r="BB32" s="399"/>
      <c r="BC32" s="381"/>
      <c r="BD32" s="381"/>
      <c r="BE32" s="381"/>
      <c r="BF32" s="381"/>
      <c r="BG32" s="381"/>
      <c r="BH32" s="381"/>
      <c r="BI32" s="381"/>
      <c r="BJ32" s="381"/>
      <c r="BK32" s="381"/>
      <c r="BL32" s="381"/>
      <c r="BM32" s="381"/>
      <c r="BN32" s="381"/>
      <c r="BO32" s="381"/>
      <c r="BP32" s="381"/>
      <c r="BQ32" s="381"/>
      <c r="BR32" s="381"/>
      <c r="BS32" s="381"/>
      <c r="BT32" s="381"/>
      <c r="BU32" s="381"/>
      <c r="BV32" s="381"/>
      <c r="BW32" s="381"/>
      <c r="BX32" s="381"/>
      <c r="BY32" s="381"/>
      <c r="BZ32" s="381"/>
      <c r="CA32" s="381"/>
      <c r="CB32" s="381"/>
      <c r="CC32" s="381"/>
      <c r="CD32" s="381"/>
      <c r="CE32" s="381"/>
      <c r="CF32" s="381"/>
      <c r="CG32" s="381"/>
      <c r="CH32" s="381"/>
      <c r="CI32" s="381"/>
      <c r="CJ32" s="381"/>
      <c r="CK32" s="381"/>
      <c r="CL32" s="381"/>
      <c r="CM32" s="381"/>
      <c r="CN32" s="381"/>
      <c r="CO32" s="381"/>
      <c r="CP32" s="381"/>
      <c r="CQ32" s="381"/>
      <c r="CR32" s="381"/>
      <c r="CS32" s="381"/>
      <c r="CT32" s="381"/>
      <c r="CU32" s="381"/>
      <c r="CV32" s="381"/>
      <c r="CW32" s="381"/>
      <c r="CX32" s="381"/>
      <c r="CY32" s="381"/>
      <c r="CZ32" s="381"/>
      <c r="DA32" s="381"/>
      <c r="DB32" s="381"/>
      <c r="DC32" s="381"/>
      <c r="DD32" s="381"/>
      <c r="DE32" s="381"/>
      <c r="DF32" s="381"/>
      <c r="DG32" s="381"/>
      <c r="DH32" s="381"/>
      <c r="DI32" s="381"/>
      <c r="DJ32" s="381"/>
      <c r="DK32" s="381"/>
      <c r="DL32" s="381"/>
      <c r="DM32" s="381"/>
      <c r="DN32" s="381"/>
      <c r="DO32" s="381"/>
      <c r="DP32" s="381"/>
      <c r="DQ32" s="381"/>
      <c r="DR32" s="381"/>
      <c r="DS32" s="381"/>
      <c r="DT32" s="381"/>
      <c r="DU32" s="381"/>
      <c r="DV32" s="381"/>
      <c r="DW32" s="381"/>
      <c r="DX32" s="381"/>
      <c r="DY32" s="381"/>
      <c r="DZ32" s="381"/>
      <c r="EA32" s="381"/>
      <c r="EB32" s="381"/>
      <c r="EC32" s="381"/>
      <c r="ED32" s="381"/>
      <c r="EE32" s="381"/>
      <c r="EF32" s="381"/>
      <c r="EG32" s="381"/>
      <c r="EH32" s="381"/>
      <c r="EI32" s="381"/>
      <c r="EJ32" s="381"/>
      <c r="EK32" s="381"/>
      <c r="EL32" s="381"/>
      <c r="EM32" s="381"/>
      <c r="EN32" s="381"/>
      <c r="EO32" s="381"/>
      <c r="EP32" s="381"/>
      <c r="EQ32" s="381"/>
      <c r="ER32" s="381"/>
      <c r="ES32" s="381"/>
      <c r="ET32" s="381"/>
      <c r="EU32" s="381"/>
      <c r="EV32" s="381"/>
      <c r="EW32" s="381"/>
      <c r="EX32" s="381"/>
      <c r="EY32" s="381"/>
      <c r="EZ32" s="381"/>
      <c r="FA32" s="381"/>
      <c r="FB32" s="381"/>
      <c r="FC32" s="381"/>
      <c r="FD32" s="381"/>
      <c r="FE32" s="381"/>
      <c r="FF32" s="381"/>
      <c r="FG32" s="381"/>
      <c r="FH32" s="381"/>
      <c r="FI32" s="381"/>
      <c r="FJ32" s="381"/>
      <c r="FK32" s="381"/>
      <c r="FL32" s="381"/>
      <c r="FM32" s="381"/>
      <c r="FN32" s="381"/>
      <c r="FO32" s="381"/>
      <c r="FP32" s="381"/>
      <c r="FQ32" s="381"/>
      <c r="FR32" s="381"/>
      <c r="FS32" s="381"/>
      <c r="FT32" s="381"/>
      <c r="FU32" s="381"/>
      <c r="FV32" s="381"/>
      <c r="FW32" s="381"/>
      <c r="FX32" s="381"/>
      <c r="FY32" s="381"/>
      <c r="FZ32" s="381"/>
      <c r="GA32" s="381"/>
      <c r="GB32" s="381"/>
      <c r="GC32" s="381"/>
      <c r="GD32" s="381"/>
      <c r="GE32" s="381"/>
      <c r="GF32" s="381"/>
      <c r="GG32" s="381"/>
      <c r="GH32" s="381"/>
      <c r="GI32" s="381"/>
      <c r="GJ32" s="381"/>
      <c r="GK32" s="381"/>
      <c r="GL32" s="381"/>
      <c r="GM32" s="381"/>
      <c r="GN32" s="381"/>
      <c r="GO32" s="381"/>
      <c r="GP32" s="381"/>
      <c r="GQ32" s="381"/>
      <c r="GR32" s="381"/>
      <c r="GS32" s="381"/>
      <c r="GT32" s="381"/>
      <c r="GU32" s="381"/>
      <c r="GV32" s="381"/>
      <c r="GW32" s="381"/>
      <c r="GX32" s="381"/>
      <c r="GY32" s="381"/>
      <c r="GZ32" s="381"/>
      <c r="HA32" s="381"/>
      <c r="HB32" s="381"/>
      <c r="HC32" s="381"/>
      <c r="HD32" s="381"/>
      <c r="HE32" s="381"/>
      <c r="HF32" s="381"/>
      <c r="HG32" s="381"/>
      <c r="HH32" s="381"/>
      <c r="HI32" s="381"/>
      <c r="HJ32" s="381"/>
      <c r="HK32" s="381"/>
      <c r="HL32" s="381"/>
      <c r="HM32" s="381"/>
      <c r="HN32" s="381"/>
      <c r="HO32" s="381"/>
      <c r="HP32" s="381"/>
      <c r="HQ32" s="381"/>
      <c r="HR32" s="381"/>
      <c r="HS32" s="381"/>
      <c r="HT32" s="381"/>
      <c r="HU32" s="381"/>
      <c r="HV32" s="381"/>
      <c r="HW32" s="381"/>
      <c r="HX32" s="381"/>
      <c r="HY32" s="381"/>
      <c r="HZ32" s="381"/>
      <c r="IA32" s="381"/>
      <c r="IB32" s="381"/>
      <c r="IC32" s="381"/>
      <c r="ID32" s="381"/>
      <c r="IE32" s="381"/>
      <c r="IF32" s="381"/>
      <c r="IG32" s="381"/>
      <c r="IH32" s="381"/>
      <c r="II32" s="381"/>
      <c r="IJ32" s="381"/>
      <c r="IK32" s="381"/>
      <c r="IL32" s="381"/>
      <c r="IM32" s="381"/>
      <c r="IN32" s="381"/>
      <c r="IO32" s="381"/>
      <c r="IP32" s="381"/>
      <c r="IQ32" s="381"/>
      <c r="IR32" s="381"/>
      <c r="IS32" s="381"/>
      <c r="IT32" s="381"/>
      <c r="IU32" s="381"/>
      <c r="IV32" s="381"/>
      <c r="IW32" s="381"/>
      <c r="IX32" s="381"/>
      <c r="IY32" s="381"/>
      <c r="IZ32" s="381"/>
      <c r="JA32" s="381"/>
      <c r="JB32" s="381"/>
      <c r="JC32" s="381"/>
      <c r="JD32" s="381"/>
      <c r="JE32" s="381"/>
      <c r="JF32" s="381"/>
      <c r="JG32" s="381"/>
      <c r="JH32" s="381"/>
      <c r="JI32" s="381"/>
      <c r="JJ32" s="381"/>
      <c r="JK32" s="381"/>
      <c r="JL32" s="381"/>
      <c r="JM32" s="381"/>
      <c r="JN32" s="381"/>
      <c r="JO32" s="381"/>
      <c r="JP32" s="381"/>
      <c r="JQ32" s="381"/>
      <c r="JR32" s="381"/>
      <c r="JS32" s="381"/>
      <c r="JT32" s="381"/>
      <c r="JU32" s="381"/>
      <c r="JV32" s="381"/>
      <c r="JW32" s="381"/>
      <c r="JX32" s="381"/>
      <c r="JY32" s="381"/>
      <c r="JZ32" s="381"/>
      <c r="KA32" s="381"/>
      <c r="KB32" s="381"/>
      <c r="KC32" s="381"/>
      <c r="KD32" s="381"/>
      <c r="KE32" s="381"/>
      <c r="KF32" s="381"/>
      <c r="KG32" s="381"/>
      <c r="KH32" s="381"/>
      <c r="KI32" s="381"/>
      <c r="KJ32" s="381"/>
      <c r="KK32" s="381"/>
      <c r="KL32" s="381"/>
      <c r="KM32" s="381"/>
      <c r="KN32" s="381"/>
      <c r="KO32" s="381"/>
      <c r="KP32" s="381"/>
      <c r="KQ32" s="381"/>
      <c r="KR32" s="381"/>
      <c r="KS32" s="381"/>
      <c r="KT32" s="381"/>
      <c r="KU32" s="381"/>
      <c r="KV32" s="381"/>
      <c r="KW32" s="381"/>
      <c r="KX32" s="381"/>
      <c r="KY32" s="381"/>
      <c r="KZ32" s="381"/>
      <c r="LA32" s="381"/>
      <c r="LB32" s="381"/>
      <c r="LC32" s="381"/>
      <c r="LD32" s="381"/>
      <c r="LE32" s="381"/>
      <c r="LF32" s="381"/>
      <c r="LG32" s="381"/>
      <c r="LH32" s="381"/>
      <c r="LI32" s="381"/>
      <c r="LJ32" s="381"/>
      <c r="LK32" s="381"/>
      <c r="LL32" s="381"/>
      <c r="LM32" s="381"/>
      <c r="LN32" s="381"/>
      <c r="LO32" s="381"/>
      <c r="LP32" s="381"/>
      <c r="LQ32" s="381"/>
      <c r="LR32" s="381"/>
      <c r="LS32" s="381"/>
      <c r="LT32" s="381"/>
      <c r="LU32" s="381"/>
      <c r="LV32" s="381"/>
      <c r="LW32" s="381"/>
      <c r="LX32" s="381"/>
      <c r="LY32" s="381"/>
      <c r="LZ32" s="381"/>
      <c r="MA32" s="381"/>
      <c r="MB32" s="381"/>
      <c r="MC32" s="381"/>
      <c r="MD32" s="381"/>
      <c r="ME32" s="381"/>
      <c r="MF32" s="381"/>
      <c r="MG32" s="381"/>
      <c r="MH32" s="381"/>
      <c r="MI32" s="381"/>
      <c r="MJ32" s="381"/>
      <c r="MK32" s="381"/>
      <c r="ML32" s="381"/>
      <c r="MM32" s="381"/>
      <c r="MN32" s="381"/>
      <c r="MO32" s="381"/>
      <c r="MP32" s="381"/>
      <c r="MQ32" s="381"/>
      <c r="MR32" s="381"/>
      <c r="MS32" s="381"/>
      <c r="MT32" s="381"/>
      <c r="MU32" s="381"/>
      <c r="MV32" s="381"/>
      <c r="MW32" s="381"/>
      <c r="MX32" s="381"/>
      <c r="MY32" s="381"/>
      <c r="MZ32" s="381"/>
      <c r="NA32" s="381"/>
      <c r="NB32" s="381"/>
      <c r="NC32" s="381"/>
      <c r="ND32" s="381"/>
      <c r="NE32" s="381"/>
      <c r="NF32" s="381"/>
      <c r="NG32" s="381"/>
      <c r="NH32" s="381"/>
      <c r="NI32" s="381"/>
      <c r="NJ32" s="381"/>
      <c r="NK32" s="381"/>
      <c r="NL32" s="381"/>
      <c r="NM32" s="381"/>
      <c r="NN32" s="381"/>
      <c r="NO32" s="381"/>
      <c r="NP32" s="381"/>
      <c r="NQ32" s="381"/>
      <c r="NR32" s="381"/>
      <c r="NS32" s="381"/>
      <c r="NT32" s="381"/>
      <c r="NU32" s="381"/>
      <c r="NV32" s="381"/>
      <c r="NW32" s="381"/>
      <c r="NX32" s="381"/>
      <c r="NY32" s="381"/>
      <c r="NZ32" s="381"/>
      <c r="OA32" s="381"/>
      <c r="OB32" s="381"/>
      <c r="OC32" s="381"/>
      <c r="OD32" s="381"/>
      <c r="OE32" s="381"/>
      <c r="OF32" s="381"/>
      <c r="OG32" s="381"/>
      <c r="OH32" s="381"/>
      <c r="OI32" s="381"/>
      <c r="OJ32" s="381"/>
      <c r="OK32" s="381"/>
      <c r="OL32" s="381"/>
      <c r="OM32" s="381"/>
      <c r="ON32" s="381"/>
      <c r="OO32" s="381"/>
      <c r="OP32" s="381"/>
      <c r="OQ32" s="381"/>
      <c r="OR32" s="381"/>
      <c r="OS32" s="381"/>
      <c r="OT32" s="381"/>
      <c r="OU32" s="381"/>
      <c r="OV32" s="381"/>
      <c r="OW32" s="381"/>
      <c r="OX32" s="381"/>
      <c r="OY32" s="381"/>
      <c r="OZ32" s="381"/>
      <c r="PA32" s="381"/>
      <c r="PB32" s="381"/>
      <c r="PC32" s="381"/>
      <c r="PD32" s="381"/>
      <c r="PE32" s="381"/>
      <c r="PF32" s="381"/>
      <c r="PG32" s="381"/>
      <c r="PH32" s="381"/>
      <c r="PI32" s="381"/>
      <c r="PJ32" s="381"/>
      <c r="PK32" s="381"/>
      <c r="PL32" s="381"/>
      <c r="PM32" s="381"/>
      <c r="PN32" s="381"/>
      <c r="PO32" s="381"/>
      <c r="PP32" s="381"/>
      <c r="PQ32" s="381"/>
      <c r="PR32" s="381"/>
      <c r="PS32" s="381"/>
      <c r="PT32" s="381"/>
      <c r="PU32" s="381"/>
      <c r="PV32" s="381"/>
      <c r="PW32" s="381"/>
      <c r="PX32" s="381"/>
      <c r="PY32" s="381"/>
      <c r="PZ32" s="381"/>
      <c r="QA32" s="381"/>
      <c r="QB32" s="381"/>
      <c r="QC32" s="381"/>
      <c r="QD32" s="381"/>
      <c r="QE32" s="381"/>
      <c r="QF32" s="381"/>
      <c r="QG32" s="381"/>
      <c r="QH32" s="381"/>
      <c r="QI32" s="381"/>
      <c r="QJ32" s="381"/>
      <c r="QK32" s="381"/>
      <c r="QL32" s="381"/>
      <c r="QM32" s="381"/>
      <c r="QN32" s="381"/>
      <c r="QO32" s="381"/>
      <c r="QP32" s="381"/>
      <c r="QQ32" s="381"/>
      <c r="QR32" s="381"/>
      <c r="QS32" s="381"/>
      <c r="QT32" s="381"/>
      <c r="QU32" s="381"/>
      <c r="QV32" s="381"/>
      <c r="QW32" s="381"/>
      <c r="QX32" s="381"/>
      <c r="QY32" s="381"/>
      <c r="QZ32" s="381"/>
      <c r="RA32" s="381"/>
      <c r="RB32" s="381"/>
      <c r="RC32" s="381"/>
      <c r="RD32" s="381"/>
      <c r="RE32" s="381"/>
      <c r="RF32" s="381"/>
      <c r="RG32" s="381"/>
      <c r="RH32" s="381"/>
      <c r="RI32" s="381"/>
      <c r="RJ32" s="381"/>
      <c r="RK32" s="381"/>
      <c r="RL32" s="381"/>
      <c r="RM32" s="381"/>
      <c r="RN32" s="381"/>
      <c r="RO32" s="381"/>
      <c r="RP32" s="381"/>
      <c r="RQ32" s="381"/>
      <c r="RR32" s="381"/>
      <c r="RS32" s="381"/>
      <c r="RT32" s="381"/>
      <c r="RU32" s="381"/>
      <c r="RV32" s="381"/>
      <c r="RW32" s="381"/>
      <c r="RX32" s="381"/>
      <c r="RY32" s="381"/>
      <c r="RZ32" s="381"/>
      <c r="SA32" s="381"/>
      <c r="SB32" s="381"/>
      <c r="SC32" s="381"/>
      <c r="SD32" s="381"/>
      <c r="SE32" s="381"/>
      <c r="SF32" s="381"/>
      <c r="SG32" s="381"/>
      <c r="SH32" s="381"/>
      <c r="SI32" s="381"/>
      <c r="SJ32" s="381"/>
      <c r="SK32" s="381"/>
      <c r="SL32" s="381"/>
      <c r="SM32" s="381"/>
      <c r="SN32" s="381"/>
      <c r="SO32" s="381"/>
      <c r="SP32" s="381"/>
      <c r="SQ32" s="381"/>
      <c r="SR32" s="381"/>
      <c r="SS32" s="381"/>
      <c r="ST32" s="381"/>
      <c r="SU32" s="381"/>
      <c r="SV32" s="381"/>
      <c r="SW32" s="381"/>
      <c r="SX32" s="381"/>
      <c r="SY32" s="381"/>
      <c r="SZ32" s="381"/>
      <c r="TA32" s="381"/>
      <c r="TB32" s="381"/>
      <c r="TC32" s="381"/>
      <c r="TD32" s="381"/>
      <c r="TE32" s="381"/>
      <c r="TF32" s="381"/>
      <c r="TG32" s="381"/>
      <c r="TH32" s="381"/>
      <c r="TI32" s="381"/>
      <c r="TJ32" s="381"/>
      <c r="TK32" s="381"/>
      <c r="TL32" s="381"/>
      <c r="TM32" s="381"/>
      <c r="TN32" s="381"/>
      <c r="TO32" s="381"/>
      <c r="TP32" s="381"/>
      <c r="TQ32" s="381"/>
      <c r="TR32" s="381"/>
      <c r="TS32" s="381"/>
      <c r="TT32" s="381"/>
      <c r="TU32" s="381"/>
      <c r="TV32" s="381"/>
      <c r="TW32" s="381"/>
      <c r="TX32" s="381"/>
      <c r="TY32" s="381"/>
      <c r="TZ32" s="381"/>
      <c r="UA32" s="381"/>
      <c r="UB32" s="381"/>
      <c r="UC32" s="381"/>
      <c r="UD32" s="381"/>
      <c r="UE32" s="381"/>
      <c r="UF32" s="381"/>
      <c r="UG32" s="381"/>
      <c r="UH32" s="381"/>
      <c r="UI32" s="381"/>
      <c r="UJ32" s="381"/>
      <c r="UK32" s="381"/>
      <c r="UL32" s="381"/>
      <c r="UM32" s="381"/>
      <c r="UN32" s="381"/>
      <c r="UO32" s="381"/>
      <c r="UP32" s="381"/>
      <c r="UQ32" s="381"/>
      <c r="UR32" s="381"/>
      <c r="US32" s="381"/>
      <c r="UT32" s="381"/>
      <c r="UU32" s="381"/>
      <c r="UV32" s="381"/>
      <c r="UW32" s="381"/>
      <c r="UX32" s="381"/>
      <c r="UY32" s="381"/>
      <c r="UZ32" s="381"/>
      <c r="VA32" s="381"/>
      <c r="VB32" s="381"/>
      <c r="VC32" s="381"/>
      <c r="VD32" s="381"/>
      <c r="VE32" s="381"/>
      <c r="VF32" s="381"/>
      <c r="VG32" s="381"/>
      <c r="VH32" s="381"/>
      <c r="VI32" s="381"/>
      <c r="VJ32" s="381"/>
      <c r="VK32" s="381"/>
      <c r="VL32" s="381"/>
      <c r="VM32" s="381"/>
      <c r="VN32" s="381"/>
      <c r="VO32" s="381"/>
      <c r="VP32" s="381"/>
      <c r="VQ32" s="381"/>
      <c r="VR32" s="381"/>
      <c r="VS32" s="381"/>
      <c r="VT32" s="381"/>
      <c r="VU32" s="381"/>
      <c r="VV32" s="381"/>
      <c r="VW32" s="381"/>
      <c r="VX32" s="381"/>
      <c r="VY32" s="381"/>
      <c r="VZ32" s="381"/>
      <c r="WA32" s="381"/>
      <c r="WB32" s="381"/>
      <c r="WC32" s="381"/>
      <c r="WD32" s="381"/>
      <c r="WE32" s="381"/>
      <c r="WF32" s="381"/>
      <c r="WG32" s="381"/>
      <c r="WH32" s="381"/>
      <c r="WI32" s="381"/>
      <c r="WJ32" s="381"/>
      <c r="WK32" s="381"/>
      <c r="WL32" s="381"/>
      <c r="WM32" s="381"/>
      <c r="WN32" s="381"/>
      <c r="WO32" s="381"/>
      <c r="WP32" s="381"/>
      <c r="WQ32" s="381"/>
      <c r="WR32" s="381"/>
      <c r="WS32" s="381"/>
      <c r="WT32" s="381"/>
      <c r="WU32" s="381"/>
      <c r="WV32" s="381"/>
      <c r="WW32" s="381"/>
      <c r="WX32" s="381"/>
      <c r="WY32" s="381"/>
      <c r="WZ32" s="381"/>
      <c r="XA32" s="381"/>
      <c r="XB32" s="381"/>
      <c r="XC32" s="381"/>
      <c r="XD32" s="381"/>
      <c r="XE32" s="381"/>
      <c r="XF32" s="381"/>
      <c r="XG32" s="381"/>
      <c r="XH32" s="381"/>
      <c r="XI32" s="381"/>
      <c r="XJ32" s="381"/>
      <c r="XK32" s="381"/>
      <c r="XL32" s="381"/>
      <c r="XM32" s="381"/>
      <c r="XN32" s="381"/>
      <c r="XO32" s="381"/>
      <c r="XP32" s="381"/>
      <c r="XQ32" s="381"/>
      <c r="XR32" s="381"/>
      <c r="XS32" s="381"/>
      <c r="XT32" s="381"/>
      <c r="XU32" s="381"/>
      <c r="XV32" s="381"/>
      <c r="XW32" s="381"/>
      <c r="XX32" s="381"/>
      <c r="XY32" s="381"/>
      <c r="XZ32" s="381"/>
      <c r="YA32" s="381"/>
      <c r="YB32" s="381"/>
      <c r="YC32" s="381"/>
      <c r="YD32" s="381"/>
      <c r="YE32" s="381"/>
      <c r="YF32" s="381"/>
      <c r="YG32" s="381"/>
      <c r="YH32" s="381"/>
      <c r="YI32" s="381"/>
      <c r="YJ32" s="381"/>
      <c r="YK32" s="381"/>
      <c r="YL32" s="381"/>
      <c r="YM32" s="381"/>
      <c r="YN32" s="381"/>
      <c r="YO32" s="381"/>
      <c r="YP32" s="381"/>
      <c r="YQ32" s="381"/>
      <c r="YR32" s="381"/>
      <c r="YS32" s="381"/>
      <c r="YT32" s="381"/>
      <c r="YU32" s="381"/>
      <c r="YV32" s="381"/>
      <c r="YW32" s="381"/>
      <c r="YX32" s="381"/>
      <c r="YY32" s="381"/>
      <c r="YZ32" s="381"/>
      <c r="ZA32" s="381"/>
      <c r="ZB32" s="381"/>
      <c r="ZC32" s="381"/>
      <c r="ZD32" s="381"/>
      <c r="ZE32" s="381"/>
      <c r="ZF32" s="381"/>
      <c r="ZG32" s="381"/>
      <c r="ZH32" s="381"/>
      <c r="ZI32" s="381"/>
      <c r="ZJ32" s="381"/>
      <c r="ZK32" s="381"/>
      <c r="ZL32" s="381"/>
      <c r="ZM32" s="381"/>
      <c r="ZN32" s="381"/>
      <c r="ZO32" s="381"/>
      <c r="ZP32" s="381"/>
      <c r="ZQ32" s="381"/>
      <c r="ZR32" s="381"/>
      <c r="ZS32" s="381"/>
      <c r="ZT32" s="381"/>
      <c r="ZU32" s="381"/>
      <c r="ZV32" s="381"/>
      <c r="ZW32" s="381"/>
      <c r="ZX32" s="381"/>
      <c r="ZY32" s="381"/>
      <c r="ZZ32" s="381"/>
      <c r="AAA32" s="381"/>
      <c r="AAB32" s="381"/>
      <c r="AAC32" s="381"/>
      <c r="AAD32" s="381"/>
      <c r="AAE32" s="381"/>
      <c r="AAF32" s="381"/>
      <c r="AAG32" s="381"/>
      <c r="AAH32" s="381"/>
      <c r="AAI32" s="381"/>
      <c r="AAJ32" s="381"/>
      <c r="AAK32" s="381"/>
      <c r="AAL32" s="381"/>
      <c r="AAM32" s="381"/>
      <c r="AAN32" s="381"/>
      <c r="AAO32" s="381"/>
      <c r="AAP32" s="381"/>
      <c r="AAQ32" s="381"/>
      <c r="AAR32" s="381"/>
      <c r="AAS32" s="381"/>
      <c r="AAT32" s="381"/>
      <c r="AAU32" s="381"/>
      <c r="AAV32" s="381"/>
      <c r="AAW32" s="381"/>
      <c r="AAX32" s="381"/>
      <c r="AAY32" s="381"/>
      <c r="AAZ32" s="381"/>
      <c r="ABA32" s="381"/>
      <c r="ABB32" s="381"/>
      <c r="ABC32" s="381"/>
      <c r="ABD32" s="381"/>
      <c r="ABE32" s="381"/>
      <c r="ABF32" s="381"/>
      <c r="ABG32" s="381"/>
      <c r="ABH32" s="381"/>
      <c r="ABI32" s="381"/>
      <c r="ABJ32" s="381"/>
      <c r="ABK32" s="381"/>
      <c r="ABL32" s="381"/>
      <c r="ABM32" s="381"/>
      <c r="ABN32" s="381"/>
      <c r="ABO32" s="381"/>
      <c r="ABP32" s="381"/>
      <c r="ABQ32" s="381"/>
      <c r="ABR32" s="381"/>
      <c r="ABS32" s="381"/>
      <c r="ABT32" s="381"/>
      <c r="ABU32" s="381"/>
      <c r="ABV32" s="381"/>
      <c r="ABW32" s="381"/>
      <c r="ABX32" s="381"/>
      <c r="ABY32" s="381"/>
      <c r="ABZ32" s="381"/>
      <c r="ACA32" s="381"/>
      <c r="ACB32" s="381"/>
      <c r="ACC32" s="381"/>
      <c r="ACD32" s="381"/>
      <c r="ACE32" s="381"/>
      <c r="ACF32" s="381"/>
      <c r="ACG32" s="381"/>
      <c r="ACH32" s="381"/>
      <c r="ACI32" s="381"/>
      <c r="ACJ32" s="381"/>
      <c r="ACK32" s="381"/>
      <c r="ACL32" s="381"/>
      <c r="ACM32" s="381"/>
      <c r="ACN32" s="381"/>
      <c r="ACO32" s="381"/>
      <c r="ACP32" s="381"/>
      <c r="ACQ32" s="381"/>
      <c r="ACR32" s="381"/>
      <c r="ACS32" s="381"/>
      <c r="ACT32" s="381"/>
      <c r="ACU32" s="381"/>
      <c r="ACV32" s="381"/>
      <c r="ACW32" s="381"/>
      <c r="ACX32" s="381"/>
      <c r="ACY32" s="381"/>
      <c r="ACZ32" s="381"/>
      <c r="ADA32" s="381"/>
      <c r="ADB32" s="381"/>
      <c r="ADC32" s="381"/>
      <c r="ADD32" s="381"/>
      <c r="ADE32" s="381"/>
      <c r="ADF32" s="381"/>
      <c r="ADG32" s="381"/>
      <c r="ADH32" s="381"/>
      <c r="ADI32" s="381"/>
      <c r="ADJ32" s="381"/>
      <c r="ADK32" s="381"/>
      <c r="ADL32" s="381"/>
      <c r="ADM32" s="381"/>
      <c r="ADN32" s="381"/>
      <c r="ADO32" s="381"/>
      <c r="ADP32" s="381"/>
      <c r="ADQ32" s="381"/>
      <c r="ADR32" s="381"/>
      <c r="ADS32" s="381"/>
      <c r="ADT32" s="381"/>
      <c r="ADU32" s="381"/>
      <c r="ADV32" s="381"/>
      <c r="ADW32" s="381"/>
      <c r="ADX32" s="381"/>
      <c r="ADY32" s="381"/>
      <c r="ADZ32" s="381"/>
      <c r="AEA32" s="381"/>
      <c r="AEB32" s="381"/>
      <c r="AEC32" s="381"/>
      <c r="AED32" s="381"/>
      <c r="AEE32" s="381"/>
      <c r="AEF32" s="381"/>
      <c r="AEG32" s="381"/>
      <c r="AEH32" s="381"/>
      <c r="AEI32" s="381"/>
      <c r="AEJ32" s="381"/>
      <c r="AEK32" s="381"/>
      <c r="AEL32" s="381"/>
      <c r="AEM32" s="381"/>
      <c r="AEN32" s="381"/>
      <c r="AEO32" s="381"/>
      <c r="AEP32" s="381"/>
      <c r="AEQ32" s="381"/>
      <c r="AER32" s="381"/>
      <c r="AES32" s="381"/>
      <c r="AET32" s="381"/>
      <c r="AEU32" s="381"/>
      <c r="AEV32" s="381"/>
      <c r="AEW32" s="381"/>
      <c r="AEX32" s="381"/>
      <c r="AEY32" s="381"/>
      <c r="AEZ32" s="381"/>
      <c r="AFA32" s="381"/>
      <c r="AFB32" s="381"/>
      <c r="AFC32" s="381"/>
      <c r="AFD32" s="381"/>
      <c r="AFE32" s="381"/>
      <c r="AFF32" s="381"/>
      <c r="AFG32" s="381"/>
      <c r="AFH32" s="381"/>
      <c r="AFI32" s="381"/>
      <c r="AFJ32" s="381"/>
      <c r="AFK32" s="381"/>
      <c r="AFL32" s="381"/>
      <c r="AFM32" s="381"/>
      <c r="AFN32" s="381"/>
      <c r="AFO32" s="381"/>
      <c r="AFP32" s="381"/>
      <c r="AFQ32" s="381"/>
      <c r="AFR32" s="381"/>
      <c r="AFS32" s="381"/>
      <c r="AFT32" s="381"/>
      <c r="AFU32" s="381"/>
      <c r="AFV32" s="381"/>
      <c r="AFW32" s="381"/>
      <c r="AFX32" s="381"/>
      <c r="AFY32" s="381"/>
      <c r="AFZ32" s="381"/>
      <c r="AGA32" s="381"/>
      <c r="AGB32" s="381"/>
      <c r="AGC32" s="381"/>
      <c r="AGD32" s="381"/>
      <c r="AGE32" s="381"/>
      <c r="AGF32" s="381"/>
      <c r="AGG32" s="381"/>
      <c r="AGH32" s="381"/>
      <c r="AGI32" s="381"/>
      <c r="AGJ32" s="381"/>
      <c r="AGK32" s="381"/>
      <c r="AGL32" s="381"/>
      <c r="AGM32" s="381"/>
      <c r="AGN32" s="381"/>
      <c r="AGO32" s="381"/>
      <c r="AGP32" s="381"/>
      <c r="AGQ32" s="381"/>
      <c r="AGR32" s="381"/>
      <c r="AGS32" s="381"/>
      <c r="AGT32" s="381"/>
      <c r="AGU32" s="381"/>
      <c r="AGV32" s="381"/>
      <c r="AGW32" s="381"/>
      <c r="AGX32" s="381"/>
      <c r="AGY32" s="381"/>
      <c r="AGZ32" s="381"/>
      <c r="AHA32" s="381"/>
      <c r="AHB32" s="381"/>
      <c r="AHC32" s="381"/>
      <c r="AHD32" s="381"/>
      <c r="AHE32" s="381"/>
      <c r="AHF32" s="381"/>
      <c r="AHG32" s="381"/>
      <c r="AHH32" s="381"/>
      <c r="AHI32" s="381"/>
      <c r="AHJ32" s="381"/>
      <c r="AHK32" s="381"/>
      <c r="AHL32" s="381"/>
      <c r="AHM32" s="381"/>
      <c r="AHN32" s="381"/>
      <c r="AHO32" s="381"/>
      <c r="AHP32" s="381"/>
      <c r="AHQ32" s="381"/>
      <c r="AHR32" s="381"/>
      <c r="AHS32" s="381"/>
      <c r="AHT32" s="381"/>
      <c r="AHU32" s="381"/>
      <c r="AHV32" s="381"/>
      <c r="AHW32" s="381"/>
      <c r="AHX32" s="381"/>
      <c r="AHY32" s="381"/>
      <c r="AHZ32" s="381"/>
      <c r="AIA32" s="381"/>
      <c r="AIB32" s="381"/>
      <c r="AIC32" s="381"/>
      <c r="AID32" s="381"/>
      <c r="AIE32" s="381"/>
      <c r="AIF32" s="381"/>
      <c r="AIG32" s="381"/>
      <c r="AIH32" s="381"/>
      <c r="AII32" s="381"/>
      <c r="AIJ32" s="381"/>
      <c r="AIK32" s="381"/>
      <c r="AIL32" s="381"/>
      <c r="AIM32" s="381"/>
      <c r="AIN32" s="381"/>
      <c r="AIO32" s="381"/>
      <c r="AIP32" s="381"/>
      <c r="AIQ32" s="381"/>
      <c r="AIR32" s="381"/>
      <c r="AIS32" s="381"/>
      <c r="AIT32" s="381"/>
      <c r="AIU32" s="381"/>
      <c r="AIV32" s="381"/>
      <c r="AIW32" s="381"/>
      <c r="AIX32" s="381"/>
      <c r="AIY32" s="381"/>
      <c r="AIZ32" s="381"/>
      <c r="AJA32" s="381"/>
      <c r="AJB32" s="381"/>
      <c r="AJC32" s="381"/>
      <c r="AJD32" s="381"/>
      <c r="AJE32" s="381"/>
      <c r="AJF32" s="381"/>
      <c r="AJG32" s="381"/>
      <c r="AJH32" s="381"/>
      <c r="AJI32" s="381"/>
      <c r="AJJ32" s="381"/>
      <c r="AJK32" s="381"/>
      <c r="AJL32" s="381"/>
      <c r="AJM32" s="381"/>
      <c r="AJN32" s="381"/>
      <c r="AJO32" s="381"/>
      <c r="AJP32" s="381"/>
      <c r="AJQ32" s="381"/>
      <c r="AJR32" s="381"/>
      <c r="AJS32" s="381"/>
      <c r="AJT32" s="381"/>
      <c r="AJU32" s="381"/>
      <c r="AJV32" s="381"/>
      <c r="AJW32" s="381"/>
      <c r="AJX32" s="381"/>
      <c r="AJY32" s="381"/>
      <c r="AJZ32" s="381"/>
      <c r="AKA32" s="381"/>
      <c r="AKB32" s="381"/>
      <c r="AKC32" s="381"/>
      <c r="AKD32" s="381"/>
      <c r="AKE32" s="381"/>
      <c r="AKF32" s="381"/>
      <c r="AKG32" s="381"/>
      <c r="AKH32" s="381"/>
      <c r="AKI32" s="381"/>
      <c r="AKJ32" s="381"/>
      <c r="AKK32" s="381"/>
      <c r="AKL32" s="381"/>
      <c r="AKM32" s="381"/>
      <c r="AKN32" s="381"/>
      <c r="AKO32" s="381"/>
      <c r="AKP32" s="381"/>
      <c r="AKQ32" s="381"/>
      <c r="AKR32" s="381"/>
      <c r="AKS32" s="381"/>
      <c r="AKT32" s="381"/>
      <c r="AKU32" s="381"/>
      <c r="AKV32" s="381"/>
      <c r="AKW32" s="381"/>
      <c r="AKX32" s="381"/>
      <c r="AKY32" s="381"/>
      <c r="AKZ32" s="381"/>
      <c r="ALA32" s="381"/>
      <c r="ALB32" s="381"/>
      <c r="ALC32" s="381"/>
    </row>
    <row r="33" spans="1:991" s="400" customFormat="1" ht="100.5" customHeight="1" thickBot="1" x14ac:dyDescent="0.3">
      <c r="A33" s="381"/>
      <c r="B33" s="360"/>
      <c r="C33" s="361" t="e">
        <f>J33-#REF!</f>
        <v>#REF!</v>
      </c>
      <c r="D33" s="362" t="s">
        <v>486</v>
      </c>
      <c r="E33" s="382"/>
      <c r="F33" s="383"/>
      <c r="G33" s="384"/>
      <c r="H33" s="385" t="s">
        <v>112</v>
      </c>
      <c r="I33" s="386" t="s">
        <v>487</v>
      </c>
      <c r="J33" s="387">
        <v>500000</v>
      </c>
      <c r="K33" s="388">
        <v>174500.49</v>
      </c>
      <c r="L33" s="389">
        <v>325499.51</v>
      </c>
      <c r="M33" s="390">
        <v>0</v>
      </c>
      <c r="N33" s="390">
        <v>0</v>
      </c>
      <c r="O33" s="391">
        <v>0</v>
      </c>
      <c r="P33" s="389"/>
      <c r="Q33" s="390"/>
      <c r="R33" s="390"/>
      <c r="S33" s="392"/>
      <c r="T33" s="393"/>
      <c r="U33" s="389"/>
      <c r="V33" s="390"/>
      <c r="W33" s="390"/>
      <c r="X33" s="390"/>
      <c r="Y33" s="390"/>
      <c r="Z33" s="390"/>
      <c r="AA33" s="390"/>
      <c r="AB33" s="392"/>
      <c r="AC33" s="392"/>
      <c r="AD33" s="392"/>
      <c r="AE33" s="392"/>
      <c r="AF33" s="390"/>
      <c r="AG33" s="392"/>
      <c r="AH33" s="394"/>
      <c r="AI33" s="393"/>
      <c r="AJ33" s="389"/>
      <c r="AK33" s="390"/>
      <c r="AL33" s="395"/>
      <c r="AM33" s="376">
        <v>174500.49</v>
      </c>
      <c r="AN33" s="395">
        <v>325499.51</v>
      </c>
      <c r="AO33" s="376">
        <v>0</v>
      </c>
      <c r="AP33" s="396"/>
      <c r="AQ33" s="390">
        <v>500000</v>
      </c>
      <c r="AR33" s="390"/>
      <c r="AS33" s="390">
        <v>0</v>
      </c>
      <c r="AT33" s="392"/>
      <c r="AU33" s="392"/>
      <c r="AV33" s="390"/>
      <c r="AW33" s="392"/>
      <c r="AX33" s="393"/>
      <c r="AY33" s="389"/>
      <c r="AZ33" s="397"/>
      <c r="BA33" s="398"/>
      <c r="BB33" s="399"/>
      <c r="BC33" s="381"/>
      <c r="BD33" s="381"/>
      <c r="BE33" s="381"/>
      <c r="BF33" s="381"/>
      <c r="BG33" s="381"/>
      <c r="BH33" s="381"/>
      <c r="BI33" s="381"/>
      <c r="BJ33" s="381"/>
      <c r="BK33" s="381"/>
      <c r="BL33" s="381"/>
      <c r="BM33" s="381"/>
      <c r="BN33" s="381"/>
      <c r="BO33" s="381"/>
      <c r="BP33" s="381"/>
      <c r="BQ33" s="381"/>
      <c r="BR33" s="381"/>
      <c r="BS33" s="381"/>
      <c r="BT33" s="381"/>
      <c r="BU33" s="381"/>
      <c r="BV33" s="381"/>
      <c r="BW33" s="381"/>
      <c r="BX33" s="381"/>
      <c r="BY33" s="381"/>
      <c r="BZ33" s="381"/>
      <c r="CA33" s="381"/>
      <c r="CB33" s="381"/>
      <c r="CC33" s="381"/>
      <c r="CD33" s="381"/>
      <c r="CE33" s="381"/>
      <c r="CF33" s="381"/>
      <c r="CG33" s="381"/>
      <c r="CH33" s="381"/>
      <c r="CI33" s="381"/>
      <c r="CJ33" s="381"/>
      <c r="CK33" s="381"/>
      <c r="CL33" s="381"/>
      <c r="CM33" s="381"/>
      <c r="CN33" s="381"/>
      <c r="CO33" s="381"/>
      <c r="CP33" s="381"/>
      <c r="CQ33" s="381"/>
      <c r="CR33" s="381"/>
      <c r="CS33" s="381"/>
      <c r="CT33" s="381"/>
      <c r="CU33" s="381"/>
      <c r="CV33" s="381"/>
      <c r="CW33" s="381"/>
      <c r="CX33" s="381"/>
      <c r="CY33" s="381"/>
      <c r="CZ33" s="381"/>
      <c r="DA33" s="381"/>
      <c r="DB33" s="381"/>
      <c r="DC33" s="381"/>
      <c r="DD33" s="381"/>
      <c r="DE33" s="381"/>
      <c r="DF33" s="381"/>
      <c r="DG33" s="381"/>
      <c r="DH33" s="381"/>
      <c r="DI33" s="381"/>
      <c r="DJ33" s="381"/>
      <c r="DK33" s="381"/>
      <c r="DL33" s="381"/>
      <c r="DM33" s="381"/>
      <c r="DN33" s="381"/>
      <c r="DO33" s="381"/>
      <c r="DP33" s="381"/>
      <c r="DQ33" s="381"/>
      <c r="DR33" s="381"/>
      <c r="DS33" s="381"/>
      <c r="DT33" s="381"/>
      <c r="DU33" s="381"/>
      <c r="DV33" s="381"/>
      <c r="DW33" s="381"/>
      <c r="DX33" s="381"/>
      <c r="DY33" s="381"/>
      <c r="DZ33" s="381"/>
      <c r="EA33" s="381"/>
      <c r="EB33" s="381"/>
      <c r="EC33" s="381"/>
      <c r="ED33" s="381"/>
      <c r="EE33" s="381"/>
      <c r="EF33" s="381"/>
      <c r="EG33" s="381"/>
      <c r="EH33" s="381"/>
      <c r="EI33" s="381"/>
      <c r="EJ33" s="381"/>
      <c r="EK33" s="381"/>
      <c r="EL33" s="381"/>
      <c r="EM33" s="381"/>
      <c r="EN33" s="381"/>
      <c r="EO33" s="381"/>
      <c r="EP33" s="381"/>
      <c r="EQ33" s="381"/>
      <c r="ER33" s="381"/>
      <c r="ES33" s="381"/>
      <c r="ET33" s="381"/>
      <c r="EU33" s="381"/>
      <c r="EV33" s="381"/>
      <c r="EW33" s="381"/>
      <c r="EX33" s="381"/>
      <c r="EY33" s="381"/>
      <c r="EZ33" s="381"/>
      <c r="FA33" s="381"/>
      <c r="FB33" s="381"/>
      <c r="FC33" s="381"/>
      <c r="FD33" s="381"/>
      <c r="FE33" s="381"/>
      <c r="FF33" s="381"/>
      <c r="FG33" s="381"/>
      <c r="FH33" s="381"/>
      <c r="FI33" s="381"/>
      <c r="FJ33" s="381"/>
      <c r="FK33" s="381"/>
      <c r="FL33" s="381"/>
      <c r="FM33" s="381"/>
      <c r="FN33" s="381"/>
      <c r="FO33" s="381"/>
      <c r="FP33" s="381"/>
      <c r="FQ33" s="381"/>
      <c r="FR33" s="381"/>
      <c r="FS33" s="381"/>
      <c r="FT33" s="381"/>
      <c r="FU33" s="381"/>
      <c r="FV33" s="381"/>
      <c r="FW33" s="381"/>
      <c r="FX33" s="381"/>
      <c r="FY33" s="381"/>
      <c r="FZ33" s="381"/>
      <c r="GA33" s="381"/>
      <c r="GB33" s="381"/>
      <c r="GC33" s="381"/>
      <c r="GD33" s="381"/>
      <c r="GE33" s="381"/>
      <c r="GF33" s="381"/>
      <c r="GG33" s="381"/>
      <c r="GH33" s="381"/>
      <c r="GI33" s="381"/>
      <c r="GJ33" s="381"/>
      <c r="GK33" s="381"/>
      <c r="GL33" s="381"/>
      <c r="GM33" s="381"/>
      <c r="GN33" s="381"/>
      <c r="GO33" s="381"/>
      <c r="GP33" s="381"/>
      <c r="GQ33" s="381"/>
      <c r="GR33" s="381"/>
      <c r="GS33" s="381"/>
      <c r="GT33" s="381"/>
      <c r="GU33" s="381"/>
      <c r="GV33" s="381"/>
      <c r="GW33" s="381"/>
      <c r="GX33" s="381"/>
      <c r="GY33" s="381"/>
      <c r="GZ33" s="381"/>
      <c r="HA33" s="381"/>
      <c r="HB33" s="381"/>
      <c r="HC33" s="381"/>
      <c r="HD33" s="381"/>
      <c r="HE33" s="381"/>
      <c r="HF33" s="381"/>
      <c r="HG33" s="381"/>
      <c r="HH33" s="381"/>
      <c r="HI33" s="381"/>
      <c r="HJ33" s="381"/>
      <c r="HK33" s="381"/>
      <c r="HL33" s="381"/>
      <c r="HM33" s="381"/>
      <c r="HN33" s="381"/>
      <c r="HO33" s="381"/>
      <c r="HP33" s="381"/>
      <c r="HQ33" s="381"/>
      <c r="HR33" s="381"/>
      <c r="HS33" s="381"/>
      <c r="HT33" s="381"/>
      <c r="HU33" s="381"/>
      <c r="HV33" s="381"/>
      <c r="HW33" s="381"/>
      <c r="HX33" s="381"/>
      <c r="HY33" s="381"/>
      <c r="HZ33" s="381"/>
      <c r="IA33" s="381"/>
      <c r="IB33" s="381"/>
      <c r="IC33" s="381"/>
      <c r="ID33" s="381"/>
      <c r="IE33" s="381"/>
      <c r="IF33" s="381"/>
      <c r="IG33" s="381"/>
      <c r="IH33" s="381"/>
      <c r="II33" s="381"/>
      <c r="IJ33" s="381"/>
      <c r="IK33" s="381"/>
      <c r="IL33" s="381"/>
      <c r="IM33" s="381"/>
      <c r="IN33" s="381"/>
      <c r="IO33" s="381"/>
      <c r="IP33" s="381"/>
      <c r="IQ33" s="381"/>
      <c r="IR33" s="381"/>
      <c r="IS33" s="381"/>
      <c r="IT33" s="381"/>
      <c r="IU33" s="381"/>
      <c r="IV33" s="381"/>
      <c r="IW33" s="381"/>
      <c r="IX33" s="381"/>
      <c r="IY33" s="381"/>
      <c r="IZ33" s="381"/>
      <c r="JA33" s="381"/>
      <c r="JB33" s="381"/>
      <c r="JC33" s="381"/>
      <c r="JD33" s="381"/>
      <c r="JE33" s="381"/>
      <c r="JF33" s="381"/>
      <c r="JG33" s="381"/>
      <c r="JH33" s="381"/>
      <c r="JI33" s="381"/>
      <c r="JJ33" s="381"/>
      <c r="JK33" s="381"/>
      <c r="JL33" s="381"/>
      <c r="JM33" s="381"/>
      <c r="JN33" s="381"/>
      <c r="JO33" s="381"/>
      <c r="JP33" s="381"/>
      <c r="JQ33" s="381"/>
      <c r="JR33" s="381"/>
      <c r="JS33" s="381"/>
      <c r="JT33" s="381"/>
      <c r="JU33" s="381"/>
      <c r="JV33" s="381"/>
      <c r="JW33" s="381"/>
      <c r="JX33" s="381"/>
      <c r="JY33" s="381"/>
      <c r="JZ33" s="381"/>
      <c r="KA33" s="381"/>
      <c r="KB33" s="381"/>
      <c r="KC33" s="381"/>
      <c r="KD33" s="381"/>
      <c r="KE33" s="381"/>
      <c r="KF33" s="381"/>
      <c r="KG33" s="381"/>
      <c r="KH33" s="381"/>
      <c r="KI33" s="381"/>
      <c r="KJ33" s="381"/>
      <c r="KK33" s="381"/>
      <c r="KL33" s="381"/>
      <c r="KM33" s="381"/>
      <c r="KN33" s="381"/>
      <c r="KO33" s="381"/>
      <c r="KP33" s="381"/>
      <c r="KQ33" s="381"/>
      <c r="KR33" s="381"/>
      <c r="KS33" s="381"/>
      <c r="KT33" s="381"/>
      <c r="KU33" s="381"/>
      <c r="KV33" s="381"/>
      <c r="KW33" s="381"/>
      <c r="KX33" s="381"/>
      <c r="KY33" s="381"/>
      <c r="KZ33" s="381"/>
      <c r="LA33" s="381"/>
      <c r="LB33" s="381"/>
      <c r="LC33" s="381"/>
      <c r="LD33" s="381"/>
      <c r="LE33" s="381"/>
      <c r="LF33" s="381"/>
      <c r="LG33" s="381"/>
      <c r="LH33" s="381"/>
      <c r="LI33" s="381"/>
      <c r="LJ33" s="381"/>
      <c r="LK33" s="381"/>
      <c r="LL33" s="381"/>
      <c r="LM33" s="381"/>
      <c r="LN33" s="381"/>
      <c r="LO33" s="381"/>
      <c r="LP33" s="381"/>
      <c r="LQ33" s="381"/>
      <c r="LR33" s="381"/>
      <c r="LS33" s="381"/>
      <c r="LT33" s="381"/>
      <c r="LU33" s="381"/>
      <c r="LV33" s="381"/>
      <c r="LW33" s="381"/>
      <c r="LX33" s="381"/>
      <c r="LY33" s="381"/>
      <c r="LZ33" s="381"/>
      <c r="MA33" s="381"/>
      <c r="MB33" s="381"/>
      <c r="MC33" s="381"/>
      <c r="MD33" s="381"/>
      <c r="ME33" s="381"/>
      <c r="MF33" s="381"/>
      <c r="MG33" s="381"/>
      <c r="MH33" s="381"/>
      <c r="MI33" s="381"/>
      <c r="MJ33" s="381"/>
      <c r="MK33" s="381"/>
      <c r="ML33" s="381"/>
      <c r="MM33" s="381"/>
      <c r="MN33" s="381"/>
      <c r="MO33" s="381"/>
      <c r="MP33" s="381"/>
      <c r="MQ33" s="381"/>
      <c r="MR33" s="381"/>
      <c r="MS33" s="381"/>
      <c r="MT33" s="381"/>
      <c r="MU33" s="381"/>
      <c r="MV33" s="381"/>
      <c r="MW33" s="381"/>
      <c r="MX33" s="381"/>
      <c r="MY33" s="381"/>
      <c r="MZ33" s="381"/>
      <c r="NA33" s="381"/>
      <c r="NB33" s="381"/>
      <c r="NC33" s="381"/>
      <c r="ND33" s="381"/>
      <c r="NE33" s="381"/>
      <c r="NF33" s="381"/>
      <c r="NG33" s="381"/>
      <c r="NH33" s="381"/>
      <c r="NI33" s="381"/>
      <c r="NJ33" s="381"/>
      <c r="NK33" s="381"/>
      <c r="NL33" s="381"/>
      <c r="NM33" s="381"/>
      <c r="NN33" s="381"/>
      <c r="NO33" s="381"/>
      <c r="NP33" s="381"/>
      <c r="NQ33" s="381"/>
      <c r="NR33" s="381"/>
      <c r="NS33" s="381"/>
      <c r="NT33" s="381"/>
      <c r="NU33" s="381"/>
      <c r="NV33" s="381"/>
      <c r="NW33" s="381"/>
      <c r="NX33" s="381"/>
      <c r="NY33" s="381"/>
      <c r="NZ33" s="381"/>
      <c r="OA33" s="381"/>
      <c r="OB33" s="381"/>
      <c r="OC33" s="381"/>
      <c r="OD33" s="381"/>
      <c r="OE33" s="381"/>
      <c r="OF33" s="381"/>
      <c r="OG33" s="381"/>
      <c r="OH33" s="381"/>
      <c r="OI33" s="381"/>
      <c r="OJ33" s="381"/>
      <c r="OK33" s="381"/>
      <c r="OL33" s="381"/>
      <c r="OM33" s="381"/>
      <c r="ON33" s="381"/>
      <c r="OO33" s="381"/>
      <c r="OP33" s="381"/>
      <c r="OQ33" s="381"/>
      <c r="OR33" s="381"/>
      <c r="OS33" s="381"/>
      <c r="OT33" s="381"/>
      <c r="OU33" s="381"/>
      <c r="OV33" s="381"/>
      <c r="OW33" s="381"/>
      <c r="OX33" s="381"/>
      <c r="OY33" s="381"/>
      <c r="OZ33" s="381"/>
      <c r="PA33" s="381"/>
      <c r="PB33" s="381"/>
      <c r="PC33" s="381"/>
      <c r="PD33" s="381"/>
      <c r="PE33" s="381"/>
      <c r="PF33" s="381"/>
      <c r="PG33" s="381"/>
      <c r="PH33" s="381"/>
      <c r="PI33" s="381"/>
      <c r="PJ33" s="381"/>
      <c r="PK33" s="381"/>
      <c r="PL33" s="381"/>
      <c r="PM33" s="381"/>
      <c r="PN33" s="381"/>
      <c r="PO33" s="381"/>
      <c r="PP33" s="381"/>
      <c r="PQ33" s="381"/>
      <c r="PR33" s="381"/>
      <c r="PS33" s="381"/>
      <c r="PT33" s="381"/>
      <c r="PU33" s="381"/>
      <c r="PV33" s="381"/>
      <c r="PW33" s="381"/>
      <c r="PX33" s="381"/>
      <c r="PY33" s="381"/>
      <c r="PZ33" s="381"/>
      <c r="QA33" s="381"/>
      <c r="QB33" s="381"/>
      <c r="QC33" s="381"/>
      <c r="QD33" s="381"/>
      <c r="QE33" s="381"/>
      <c r="QF33" s="381"/>
      <c r="QG33" s="381"/>
      <c r="QH33" s="381"/>
      <c r="QI33" s="381"/>
      <c r="QJ33" s="381"/>
      <c r="QK33" s="381"/>
      <c r="QL33" s="381"/>
      <c r="QM33" s="381"/>
      <c r="QN33" s="381"/>
      <c r="QO33" s="381"/>
      <c r="QP33" s="381"/>
      <c r="QQ33" s="381"/>
      <c r="QR33" s="381"/>
      <c r="QS33" s="381"/>
      <c r="QT33" s="381"/>
      <c r="QU33" s="381"/>
      <c r="QV33" s="381"/>
      <c r="QW33" s="381"/>
      <c r="QX33" s="381"/>
      <c r="QY33" s="381"/>
      <c r="QZ33" s="381"/>
      <c r="RA33" s="381"/>
      <c r="RB33" s="381"/>
      <c r="RC33" s="381"/>
      <c r="RD33" s="381"/>
      <c r="RE33" s="381"/>
      <c r="RF33" s="381"/>
      <c r="RG33" s="381"/>
      <c r="RH33" s="381"/>
      <c r="RI33" s="381"/>
      <c r="RJ33" s="381"/>
      <c r="RK33" s="381"/>
      <c r="RL33" s="381"/>
      <c r="RM33" s="381"/>
      <c r="RN33" s="381"/>
      <c r="RO33" s="381"/>
      <c r="RP33" s="381"/>
      <c r="RQ33" s="381"/>
      <c r="RR33" s="381"/>
      <c r="RS33" s="381"/>
      <c r="RT33" s="381"/>
      <c r="RU33" s="381"/>
      <c r="RV33" s="381"/>
      <c r="RW33" s="381"/>
      <c r="RX33" s="381"/>
      <c r="RY33" s="381"/>
      <c r="RZ33" s="381"/>
      <c r="SA33" s="381"/>
      <c r="SB33" s="381"/>
      <c r="SC33" s="381"/>
      <c r="SD33" s="381"/>
      <c r="SE33" s="381"/>
      <c r="SF33" s="381"/>
      <c r="SG33" s="381"/>
      <c r="SH33" s="381"/>
      <c r="SI33" s="381"/>
      <c r="SJ33" s="381"/>
      <c r="SK33" s="381"/>
      <c r="SL33" s="381"/>
      <c r="SM33" s="381"/>
      <c r="SN33" s="381"/>
      <c r="SO33" s="381"/>
      <c r="SP33" s="381"/>
      <c r="SQ33" s="381"/>
      <c r="SR33" s="381"/>
      <c r="SS33" s="381"/>
      <c r="ST33" s="381"/>
      <c r="SU33" s="381"/>
      <c r="SV33" s="381"/>
      <c r="SW33" s="381"/>
      <c r="SX33" s="381"/>
      <c r="SY33" s="381"/>
      <c r="SZ33" s="381"/>
      <c r="TA33" s="381"/>
      <c r="TB33" s="381"/>
      <c r="TC33" s="381"/>
      <c r="TD33" s="381"/>
      <c r="TE33" s="381"/>
      <c r="TF33" s="381"/>
      <c r="TG33" s="381"/>
      <c r="TH33" s="381"/>
      <c r="TI33" s="381"/>
      <c r="TJ33" s="381"/>
      <c r="TK33" s="381"/>
      <c r="TL33" s="381"/>
      <c r="TM33" s="381"/>
      <c r="TN33" s="381"/>
      <c r="TO33" s="381"/>
      <c r="TP33" s="381"/>
      <c r="TQ33" s="381"/>
      <c r="TR33" s="381"/>
      <c r="TS33" s="381"/>
      <c r="TT33" s="381"/>
      <c r="TU33" s="381"/>
      <c r="TV33" s="381"/>
      <c r="TW33" s="381"/>
      <c r="TX33" s="381"/>
      <c r="TY33" s="381"/>
      <c r="TZ33" s="381"/>
      <c r="UA33" s="381"/>
      <c r="UB33" s="381"/>
      <c r="UC33" s="381"/>
      <c r="UD33" s="381"/>
      <c r="UE33" s="381"/>
      <c r="UF33" s="381"/>
      <c r="UG33" s="381"/>
      <c r="UH33" s="381"/>
      <c r="UI33" s="381"/>
      <c r="UJ33" s="381"/>
      <c r="UK33" s="381"/>
      <c r="UL33" s="381"/>
      <c r="UM33" s="381"/>
      <c r="UN33" s="381"/>
      <c r="UO33" s="381"/>
      <c r="UP33" s="381"/>
      <c r="UQ33" s="381"/>
      <c r="UR33" s="381"/>
      <c r="US33" s="381"/>
      <c r="UT33" s="381"/>
      <c r="UU33" s="381"/>
      <c r="UV33" s="381"/>
      <c r="UW33" s="381"/>
      <c r="UX33" s="381"/>
      <c r="UY33" s="381"/>
      <c r="UZ33" s="381"/>
      <c r="VA33" s="381"/>
      <c r="VB33" s="381"/>
      <c r="VC33" s="381"/>
      <c r="VD33" s="381"/>
      <c r="VE33" s="381"/>
      <c r="VF33" s="381"/>
      <c r="VG33" s="381"/>
      <c r="VH33" s="381"/>
      <c r="VI33" s="381"/>
      <c r="VJ33" s="381"/>
      <c r="VK33" s="381"/>
      <c r="VL33" s="381"/>
      <c r="VM33" s="381"/>
      <c r="VN33" s="381"/>
      <c r="VO33" s="381"/>
      <c r="VP33" s="381"/>
      <c r="VQ33" s="381"/>
      <c r="VR33" s="381"/>
      <c r="VS33" s="381"/>
      <c r="VT33" s="381"/>
      <c r="VU33" s="381"/>
      <c r="VV33" s="381"/>
      <c r="VW33" s="381"/>
      <c r="VX33" s="381"/>
      <c r="VY33" s="381"/>
      <c r="VZ33" s="381"/>
      <c r="WA33" s="381"/>
      <c r="WB33" s="381"/>
      <c r="WC33" s="381"/>
      <c r="WD33" s="381"/>
      <c r="WE33" s="381"/>
      <c r="WF33" s="381"/>
      <c r="WG33" s="381"/>
      <c r="WH33" s="381"/>
      <c r="WI33" s="381"/>
      <c r="WJ33" s="381"/>
      <c r="WK33" s="381"/>
      <c r="WL33" s="381"/>
      <c r="WM33" s="381"/>
      <c r="WN33" s="381"/>
      <c r="WO33" s="381"/>
      <c r="WP33" s="381"/>
      <c r="WQ33" s="381"/>
      <c r="WR33" s="381"/>
      <c r="WS33" s="381"/>
      <c r="WT33" s="381"/>
      <c r="WU33" s="381"/>
      <c r="WV33" s="381"/>
      <c r="WW33" s="381"/>
      <c r="WX33" s="381"/>
      <c r="WY33" s="381"/>
      <c r="WZ33" s="381"/>
      <c r="XA33" s="381"/>
      <c r="XB33" s="381"/>
      <c r="XC33" s="381"/>
      <c r="XD33" s="381"/>
      <c r="XE33" s="381"/>
      <c r="XF33" s="381"/>
      <c r="XG33" s="381"/>
      <c r="XH33" s="381"/>
      <c r="XI33" s="381"/>
      <c r="XJ33" s="381"/>
      <c r="XK33" s="381"/>
      <c r="XL33" s="381"/>
      <c r="XM33" s="381"/>
      <c r="XN33" s="381"/>
      <c r="XO33" s="381"/>
      <c r="XP33" s="381"/>
      <c r="XQ33" s="381"/>
      <c r="XR33" s="381"/>
      <c r="XS33" s="381"/>
      <c r="XT33" s="381"/>
      <c r="XU33" s="381"/>
      <c r="XV33" s="381"/>
      <c r="XW33" s="381"/>
      <c r="XX33" s="381"/>
      <c r="XY33" s="381"/>
      <c r="XZ33" s="381"/>
      <c r="YA33" s="381"/>
      <c r="YB33" s="381"/>
      <c r="YC33" s="381"/>
      <c r="YD33" s="381"/>
      <c r="YE33" s="381"/>
      <c r="YF33" s="381"/>
      <c r="YG33" s="381"/>
      <c r="YH33" s="381"/>
      <c r="YI33" s="381"/>
      <c r="YJ33" s="381"/>
      <c r="YK33" s="381"/>
      <c r="YL33" s="381"/>
      <c r="YM33" s="381"/>
      <c r="YN33" s="381"/>
      <c r="YO33" s="381"/>
      <c r="YP33" s="381"/>
      <c r="YQ33" s="381"/>
      <c r="YR33" s="381"/>
      <c r="YS33" s="381"/>
      <c r="YT33" s="381"/>
      <c r="YU33" s="381"/>
      <c r="YV33" s="381"/>
      <c r="YW33" s="381"/>
      <c r="YX33" s="381"/>
      <c r="YY33" s="381"/>
      <c r="YZ33" s="381"/>
      <c r="ZA33" s="381"/>
      <c r="ZB33" s="381"/>
      <c r="ZC33" s="381"/>
      <c r="ZD33" s="381"/>
      <c r="ZE33" s="381"/>
      <c r="ZF33" s="381"/>
      <c r="ZG33" s="381"/>
      <c r="ZH33" s="381"/>
      <c r="ZI33" s="381"/>
      <c r="ZJ33" s="381"/>
      <c r="ZK33" s="381"/>
      <c r="ZL33" s="381"/>
      <c r="ZM33" s="381"/>
      <c r="ZN33" s="381"/>
      <c r="ZO33" s="381"/>
      <c r="ZP33" s="381"/>
      <c r="ZQ33" s="381"/>
      <c r="ZR33" s="381"/>
      <c r="ZS33" s="381"/>
      <c r="ZT33" s="381"/>
      <c r="ZU33" s="381"/>
      <c r="ZV33" s="381"/>
      <c r="ZW33" s="381"/>
      <c r="ZX33" s="381"/>
      <c r="ZY33" s="381"/>
      <c r="ZZ33" s="381"/>
      <c r="AAA33" s="381"/>
      <c r="AAB33" s="381"/>
      <c r="AAC33" s="381"/>
      <c r="AAD33" s="381"/>
      <c r="AAE33" s="381"/>
      <c r="AAF33" s="381"/>
      <c r="AAG33" s="381"/>
      <c r="AAH33" s="381"/>
      <c r="AAI33" s="381"/>
      <c r="AAJ33" s="381"/>
      <c r="AAK33" s="381"/>
      <c r="AAL33" s="381"/>
      <c r="AAM33" s="381"/>
      <c r="AAN33" s="381"/>
      <c r="AAO33" s="381"/>
      <c r="AAP33" s="381"/>
      <c r="AAQ33" s="381"/>
      <c r="AAR33" s="381"/>
      <c r="AAS33" s="381"/>
      <c r="AAT33" s="381"/>
      <c r="AAU33" s="381"/>
      <c r="AAV33" s="381"/>
      <c r="AAW33" s="381"/>
      <c r="AAX33" s="381"/>
      <c r="AAY33" s="381"/>
      <c r="AAZ33" s="381"/>
      <c r="ABA33" s="381"/>
      <c r="ABB33" s="381"/>
      <c r="ABC33" s="381"/>
      <c r="ABD33" s="381"/>
      <c r="ABE33" s="381"/>
      <c r="ABF33" s="381"/>
      <c r="ABG33" s="381"/>
      <c r="ABH33" s="381"/>
      <c r="ABI33" s="381"/>
      <c r="ABJ33" s="381"/>
      <c r="ABK33" s="381"/>
      <c r="ABL33" s="381"/>
      <c r="ABM33" s="381"/>
      <c r="ABN33" s="381"/>
      <c r="ABO33" s="381"/>
      <c r="ABP33" s="381"/>
      <c r="ABQ33" s="381"/>
      <c r="ABR33" s="381"/>
      <c r="ABS33" s="381"/>
      <c r="ABT33" s="381"/>
      <c r="ABU33" s="381"/>
      <c r="ABV33" s="381"/>
      <c r="ABW33" s="381"/>
      <c r="ABX33" s="381"/>
      <c r="ABY33" s="381"/>
      <c r="ABZ33" s="381"/>
      <c r="ACA33" s="381"/>
      <c r="ACB33" s="381"/>
      <c r="ACC33" s="381"/>
      <c r="ACD33" s="381"/>
      <c r="ACE33" s="381"/>
      <c r="ACF33" s="381"/>
      <c r="ACG33" s="381"/>
      <c r="ACH33" s="381"/>
      <c r="ACI33" s="381"/>
      <c r="ACJ33" s="381"/>
      <c r="ACK33" s="381"/>
      <c r="ACL33" s="381"/>
      <c r="ACM33" s="381"/>
      <c r="ACN33" s="381"/>
      <c r="ACO33" s="381"/>
      <c r="ACP33" s="381"/>
      <c r="ACQ33" s="381"/>
      <c r="ACR33" s="381"/>
      <c r="ACS33" s="381"/>
      <c r="ACT33" s="381"/>
      <c r="ACU33" s="381"/>
      <c r="ACV33" s="381"/>
      <c r="ACW33" s="381"/>
      <c r="ACX33" s="381"/>
      <c r="ACY33" s="381"/>
      <c r="ACZ33" s="381"/>
      <c r="ADA33" s="381"/>
      <c r="ADB33" s="381"/>
      <c r="ADC33" s="381"/>
      <c r="ADD33" s="381"/>
      <c r="ADE33" s="381"/>
      <c r="ADF33" s="381"/>
      <c r="ADG33" s="381"/>
      <c r="ADH33" s="381"/>
      <c r="ADI33" s="381"/>
      <c r="ADJ33" s="381"/>
      <c r="ADK33" s="381"/>
      <c r="ADL33" s="381"/>
      <c r="ADM33" s="381"/>
      <c r="ADN33" s="381"/>
      <c r="ADO33" s="381"/>
      <c r="ADP33" s="381"/>
      <c r="ADQ33" s="381"/>
      <c r="ADR33" s="381"/>
      <c r="ADS33" s="381"/>
      <c r="ADT33" s="381"/>
      <c r="ADU33" s="381"/>
      <c r="ADV33" s="381"/>
      <c r="ADW33" s="381"/>
      <c r="ADX33" s="381"/>
      <c r="ADY33" s="381"/>
      <c r="ADZ33" s="381"/>
      <c r="AEA33" s="381"/>
      <c r="AEB33" s="381"/>
      <c r="AEC33" s="381"/>
      <c r="AED33" s="381"/>
      <c r="AEE33" s="381"/>
      <c r="AEF33" s="381"/>
      <c r="AEG33" s="381"/>
      <c r="AEH33" s="381"/>
      <c r="AEI33" s="381"/>
      <c r="AEJ33" s="381"/>
      <c r="AEK33" s="381"/>
      <c r="AEL33" s="381"/>
      <c r="AEM33" s="381"/>
      <c r="AEN33" s="381"/>
      <c r="AEO33" s="381"/>
      <c r="AEP33" s="381"/>
      <c r="AEQ33" s="381"/>
      <c r="AER33" s="381"/>
      <c r="AES33" s="381"/>
      <c r="AET33" s="381"/>
      <c r="AEU33" s="381"/>
      <c r="AEV33" s="381"/>
      <c r="AEW33" s="381"/>
      <c r="AEX33" s="381"/>
      <c r="AEY33" s="381"/>
      <c r="AEZ33" s="381"/>
      <c r="AFA33" s="381"/>
      <c r="AFB33" s="381"/>
      <c r="AFC33" s="381"/>
      <c r="AFD33" s="381"/>
      <c r="AFE33" s="381"/>
      <c r="AFF33" s="381"/>
      <c r="AFG33" s="381"/>
      <c r="AFH33" s="381"/>
      <c r="AFI33" s="381"/>
      <c r="AFJ33" s="381"/>
      <c r="AFK33" s="381"/>
      <c r="AFL33" s="381"/>
      <c r="AFM33" s="381"/>
      <c r="AFN33" s="381"/>
      <c r="AFO33" s="381"/>
      <c r="AFP33" s="381"/>
      <c r="AFQ33" s="381"/>
      <c r="AFR33" s="381"/>
      <c r="AFS33" s="381"/>
      <c r="AFT33" s="381"/>
      <c r="AFU33" s="381"/>
      <c r="AFV33" s="381"/>
      <c r="AFW33" s="381"/>
      <c r="AFX33" s="381"/>
      <c r="AFY33" s="381"/>
      <c r="AFZ33" s="381"/>
      <c r="AGA33" s="381"/>
      <c r="AGB33" s="381"/>
      <c r="AGC33" s="381"/>
      <c r="AGD33" s="381"/>
      <c r="AGE33" s="381"/>
      <c r="AGF33" s="381"/>
      <c r="AGG33" s="381"/>
      <c r="AGH33" s="381"/>
      <c r="AGI33" s="381"/>
      <c r="AGJ33" s="381"/>
      <c r="AGK33" s="381"/>
      <c r="AGL33" s="381"/>
      <c r="AGM33" s="381"/>
      <c r="AGN33" s="381"/>
      <c r="AGO33" s="381"/>
      <c r="AGP33" s="381"/>
      <c r="AGQ33" s="381"/>
      <c r="AGR33" s="381"/>
      <c r="AGS33" s="381"/>
      <c r="AGT33" s="381"/>
      <c r="AGU33" s="381"/>
      <c r="AGV33" s="381"/>
      <c r="AGW33" s="381"/>
      <c r="AGX33" s="381"/>
      <c r="AGY33" s="381"/>
      <c r="AGZ33" s="381"/>
      <c r="AHA33" s="381"/>
      <c r="AHB33" s="381"/>
      <c r="AHC33" s="381"/>
      <c r="AHD33" s="381"/>
      <c r="AHE33" s="381"/>
      <c r="AHF33" s="381"/>
      <c r="AHG33" s="381"/>
      <c r="AHH33" s="381"/>
      <c r="AHI33" s="381"/>
      <c r="AHJ33" s="381"/>
      <c r="AHK33" s="381"/>
      <c r="AHL33" s="381"/>
      <c r="AHM33" s="381"/>
      <c r="AHN33" s="381"/>
      <c r="AHO33" s="381"/>
      <c r="AHP33" s="381"/>
      <c r="AHQ33" s="381"/>
      <c r="AHR33" s="381"/>
      <c r="AHS33" s="381"/>
      <c r="AHT33" s="381"/>
      <c r="AHU33" s="381"/>
      <c r="AHV33" s="381"/>
      <c r="AHW33" s="381"/>
      <c r="AHX33" s="381"/>
      <c r="AHY33" s="381"/>
      <c r="AHZ33" s="381"/>
      <c r="AIA33" s="381"/>
      <c r="AIB33" s="381"/>
      <c r="AIC33" s="381"/>
      <c r="AID33" s="381"/>
      <c r="AIE33" s="381"/>
      <c r="AIF33" s="381"/>
      <c r="AIG33" s="381"/>
      <c r="AIH33" s="381"/>
      <c r="AII33" s="381"/>
      <c r="AIJ33" s="381"/>
      <c r="AIK33" s="381"/>
      <c r="AIL33" s="381"/>
      <c r="AIM33" s="381"/>
      <c r="AIN33" s="381"/>
      <c r="AIO33" s="381"/>
      <c r="AIP33" s="381"/>
      <c r="AIQ33" s="381"/>
      <c r="AIR33" s="381"/>
      <c r="AIS33" s="381"/>
      <c r="AIT33" s="381"/>
      <c r="AIU33" s="381"/>
      <c r="AIV33" s="381"/>
      <c r="AIW33" s="381"/>
      <c r="AIX33" s="381"/>
      <c r="AIY33" s="381"/>
      <c r="AIZ33" s="381"/>
      <c r="AJA33" s="381"/>
      <c r="AJB33" s="381"/>
      <c r="AJC33" s="381"/>
      <c r="AJD33" s="381"/>
      <c r="AJE33" s="381"/>
      <c r="AJF33" s="381"/>
      <c r="AJG33" s="381"/>
      <c r="AJH33" s="381"/>
      <c r="AJI33" s="381"/>
      <c r="AJJ33" s="381"/>
      <c r="AJK33" s="381"/>
      <c r="AJL33" s="381"/>
      <c r="AJM33" s="381"/>
      <c r="AJN33" s="381"/>
      <c r="AJO33" s="381"/>
      <c r="AJP33" s="381"/>
      <c r="AJQ33" s="381"/>
      <c r="AJR33" s="381"/>
      <c r="AJS33" s="381"/>
      <c r="AJT33" s="381"/>
      <c r="AJU33" s="381"/>
      <c r="AJV33" s="381"/>
      <c r="AJW33" s="381"/>
      <c r="AJX33" s="381"/>
      <c r="AJY33" s="381"/>
      <c r="AJZ33" s="381"/>
      <c r="AKA33" s="381"/>
      <c r="AKB33" s="381"/>
      <c r="AKC33" s="381"/>
      <c r="AKD33" s="381"/>
      <c r="AKE33" s="381"/>
      <c r="AKF33" s="381"/>
      <c r="AKG33" s="381"/>
      <c r="AKH33" s="381"/>
      <c r="AKI33" s="381"/>
      <c r="AKJ33" s="381"/>
      <c r="AKK33" s="381"/>
      <c r="AKL33" s="381"/>
      <c r="AKM33" s="381"/>
      <c r="AKN33" s="381"/>
      <c r="AKO33" s="381"/>
      <c r="AKP33" s="381"/>
      <c r="AKQ33" s="381"/>
      <c r="AKR33" s="381"/>
      <c r="AKS33" s="381"/>
      <c r="AKT33" s="381"/>
      <c r="AKU33" s="381"/>
      <c r="AKV33" s="381"/>
      <c r="AKW33" s="381"/>
      <c r="AKX33" s="381"/>
      <c r="AKY33" s="381"/>
      <c r="AKZ33" s="381"/>
      <c r="ALA33" s="381"/>
      <c r="ALB33" s="381"/>
      <c r="ALC33" s="381"/>
    </row>
    <row r="34" spans="1:991" s="400" customFormat="1" ht="111.75" customHeight="1" thickBot="1" x14ac:dyDescent="0.3">
      <c r="A34" s="381"/>
      <c r="B34" s="360"/>
      <c r="C34" s="361" t="e">
        <f>J34-#REF!</f>
        <v>#REF!</v>
      </c>
      <c r="D34" s="362" t="s">
        <v>488</v>
      </c>
      <c r="E34" s="401"/>
      <c r="F34" s="402"/>
      <c r="G34" s="403"/>
      <c r="H34" s="404" t="s">
        <v>112</v>
      </c>
      <c r="I34" s="386" t="s">
        <v>489</v>
      </c>
      <c r="J34" s="405">
        <v>1728729.34</v>
      </c>
      <c r="K34" s="406">
        <v>1728729.34</v>
      </c>
      <c r="L34" s="407">
        <v>0</v>
      </c>
      <c r="M34" s="408">
        <v>0</v>
      </c>
      <c r="N34" s="408">
        <v>0</v>
      </c>
      <c r="O34" s="391">
        <v>0</v>
      </c>
      <c r="P34" s="407"/>
      <c r="Q34" s="408"/>
      <c r="R34" s="408">
        <v>425300</v>
      </c>
      <c r="S34" s="409"/>
      <c r="T34" s="410"/>
      <c r="U34" s="407"/>
      <c r="V34" s="408"/>
      <c r="W34" s="408"/>
      <c r="X34" s="408"/>
      <c r="Y34" s="408"/>
      <c r="Z34" s="408">
        <v>1000000</v>
      </c>
      <c r="AA34" s="408"/>
      <c r="AB34" s="409"/>
      <c r="AC34" s="409"/>
      <c r="AD34" s="409"/>
      <c r="AE34" s="409"/>
      <c r="AF34" s="408"/>
      <c r="AG34" s="409"/>
      <c r="AH34" s="411"/>
      <c r="AI34" s="410"/>
      <c r="AJ34" s="407"/>
      <c r="AK34" s="408"/>
      <c r="AL34" s="412"/>
      <c r="AM34" s="376">
        <v>303429.33999999997</v>
      </c>
      <c r="AN34" s="412"/>
      <c r="AO34" s="376">
        <v>0</v>
      </c>
      <c r="AP34" s="413"/>
      <c r="AQ34" s="390">
        <v>532987.22</v>
      </c>
      <c r="AR34" s="390"/>
      <c r="AS34" s="390">
        <v>0</v>
      </c>
      <c r="AT34" s="409"/>
      <c r="AU34" s="409"/>
      <c r="AV34" s="408"/>
      <c r="AW34" s="409"/>
      <c r="AX34" s="410"/>
      <c r="AY34" s="407"/>
      <c r="AZ34" s="414"/>
      <c r="BA34" s="415"/>
      <c r="BB34" s="416" t="s">
        <v>490</v>
      </c>
      <c r="BC34" s="381"/>
      <c r="BD34" s="381"/>
      <c r="BE34" s="381"/>
      <c r="BF34" s="381"/>
      <c r="BG34" s="381"/>
      <c r="BH34" s="381"/>
      <c r="BI34" s="381"/>
      <c r="BJ34" s="381"/>
      <c r="BK34" s="381"/>
      <c r="BL34" s="381"/>
      <c r="BM34" s="381"/>
      <c r="BN34" s="381"/>
      <c r="BO34" s="381"/>
      <c r="BP34" s="381"/>
      <c r="BQ34" s="381"/>
      <c r="BR34" s="381"/>
      <c r="BS34" s="381"/>
      <c r="BT34" s="381"/>
      <c r="BU34" s="381"/>
      <c r="BV34" s="381"/>
      <c r="BW34" s="381"/>
      <c r="BX34" s="381"/>
      <c r="BY34" s="381"/>
      <c r="BZ34" s="381"/>
      <c r="CA34" s="381"/>
      <c r="CB34" s="381"/>
      <c r="CC34" s="381"/>
      <c r="CD34" s="381"/>
      <c r="CE34" s="381"/>
      <c r="CF34" s="381"/>
      <c r="CG34" s="381"/>
      <c r="CH34" s="381"/>
      <c r="CI34" s="381"/>
      <c r="CJ34" s="381"/>
      <c r="CK34" s="381"/>
      <c r="CL34" s="381"/>
      <c r="CM34" s="381"/>
      <c r="CN34" s="381"/>
      <c r="CO34" s="381"/>
      <c r="CP34" s="381"/>
      <c r="CQ34" s="381"/>
      <c r="CR34" s="381"/>
      <c r="CS34" s="381"/>
      <c r="CT34" s="381"/>
      <c r="CU34" s="381"/>
      <c r="CV34" s="381"/>
      <c r="CW34" s="381"/>
      <c r="CX34" s="381"/>
      <c r="CY34" s="381"/>
      <c r="CZ34" s="381"/>
      <c r="DA34" s="381"/>
      <c r="DB34" s="381"/>
      <c r="DC34" s="381"/>
      <c r="DD34" s="381"/>
      <c r="DE34" s="381"/>
      <c r="DF34" s="381"/>
      <c r="DG34" s="381"/>
      <c r="DH34" s="381"/>
      <c r="DI34" s="381"/>
      <c r="DJ34" s="381"/>
      <c r="DK34" s="381"/>
      <c r="DL34" s="381"/>
      <c r="DM34" s="381"/>
      <c r="DN34" s="381"/>
      <c r="DO34" s="381"/>
      <c r="DP34" s="381"/>
      <c r="DQ34" s="381"/>
      <c r="DR34" s="381"/>
      <c r="DS34" s="381"/>
      <c r="DT34" s="381"/>
      <c r="DU34" s="381"/>
      <c r="DV34" s="381"/>
      <c r="DW34" s="381"/>
      <c r="DX34" s="381"/>
      <c r="DY34" s="381"/>
      <c r="DZ34" s="381"/>
      <c r="EA34" s="381"/>
      <c r="EB34" s="381"/>
      <c r="EC34" s="381"/>
      <c r="ED34" s="381"/>
      <c r="EE34" s="381"/>
      <c r="EF34" s="381"/>
      <c r="EG34" s="381"/>
      <c r="EH34" s="381"/>
      <c r="EI34" s="381"/>
      <c r="EJ34" s="381"/>
      <c r="EK34" s="381"/>
      <c r="EL34" s="381"/>
      <c r="EM34" s="381"/>
      <c r="EN34" s="381"/>
      <c r="EO34" s="381"/>
      <c r="EP34" s="381"/>
      <c r="EQ34" s="381"/>
      <c r="ER34" s="381"/>
      <c r="ES34" s="381"/>
      <c r="ET34" s="381"/>
      <c r="EU34" s="381"/>
      <c r="EV34" s="381"/>
      <c r="EW34" s="381"/>
      <c r="EX34" s="381"/>
      <c r="EY34" s="381"/>
      <c r="EZ34" s="381"/>
      <c r="FA34" s="381"/>
      <c r="FB34" s="381"/>
      <c r="FC34" s="381"/>
      <c r="FD34" s="381"/>
      <c r="FE34" s="381"/>
      <c r="FF34" s="381"/>
      <c r="FG34" s="381"/>
      <c r="FH34" s="381"/>
      <c r="FI34" s="381"/>
      <c r="FJ34" s="381"/>
      <c r="FK34" s="381"/>
      <c r="FL34" s="381"/>
      <c r="FM34" s="381"/>
      <c r="FN34" s="381"/>
      <c r="FO34" s="381"/>
      <c r="FP34" s="381"/>
      <c r="FQ34" s="381"/>
      <c r="FR34" s="381"/>
      <c r="FS34" s="381"/>
      <c r="FT34" s="381"/>
      <c r="FU34" s="381"/>
      <c r="FV34" s="381"/>
      <c r="FW34" s="381"/>
      <c r="FX34" s="381"/>
      <c r="FY34" s="381"/>
      <c r="FZ34" s="381"/>
      <c r="GA34" s="381"/>
      <c r="GB34" s="381"/>
      <c r="GC34" s="381"/>
      <c r="GD34" s="381"/>
      <c r="GE34" s="381"/>
      <c r="GF34" s="381"/>
      <c r="GG34" s="381"/>
      <c r="GH34" s="381"/>
      <c r="GI34" s="381"/>
      <c r="GJ34" s="381"/>
      <c r="GK34" s="381"/>
      <c r="GL34" s="381"/>
      <c r="GM34" s="381"/>
      <c r="GN34" s="381"/>
      <c r="GO34" s="381"/>
      <c r="GP34" s="381"/>
      <c r="GQ34" s="381"/>
      <c r="GR34" s="381"/>
      <c r="GS34" s="381"/>
      <c r="GT34" s="381"/>
      <c r="GU34" s="381"/>
      <c r="GV34" s="381"/>
      <c r="GW34" s="381"/>
      <c r="GX34" s="381"/>
      <c r="GY34" s="381"/>
      <c r="GZ34" s="381"/>
      <c r="HA34" s="381"/>
      <c r="HB34" s="381"/>
      <c r="HC34" s="381"/>
      <c r="HD34" s="381"/>
      <c r="HE34" s="381"/>
      <c r="HF34" s="381"/>
      <c r="HG34" s="381"/>
      <c r="HH34" s="381"/>
      <c r="HI34" s="381"/>
      <c r="HJ34" s="381"/>
      <c r="HK34" s="381"/>
      <c r="HL34" s="381"/>
      <c r="HM34" s="381"/>
      <c r="HN34" s="381"/>
      <c r="HO34" s="381"/>
      <c r="HP34" s="381"/>
      <c r="HQ34" s="381"/>
      <c r="HR34" s="381"/>
      <c r="HS34" s="381"/>
      <c r="HT34" s="381"/>
      <c r="HU34" s="381"/>
      <c r="HV34" s="381"/>
      <c r="HW34" s="381"/>
      <c r="HX34" s="381"/>
      <c r="HY34" s="381"/>
      <c r="HZ34" s="381"/>
      <c r="IA34" s="381"/>
      <c r="IB34" s="381"/>
      <c r="IC34" s="381"/>
      <c r="ID34" s="381"/>
      <c r="IE34" s="381"/>
      <c r="IF34" s="381"/>
      <c r="IG34" s="381"/>
      <c r="IH34" s="381"/>
      <c r="II34" s="381"/>
      <c r="IJ34" s="381"/>
      <c r="IK34" s="381"/>
      <c r="IL34" s="381"/>
      <c r="IM34" s="381"/>
      <c r="IN34" s="381"/>
      <c r="IO34" s="381"/>
      <c r="IP34" s="381"/>
      <c r="IQ34" s="381"/>
      <c r="IR34" s="381"/>
      <c r="IS34" s="381"/>
      <c r="IT34" s="381"/>
      <c r="IU34" s="381"/>
      <c r="IV34" s="381"/>
      <c r="IW34" s="381"/>
      <c r="IX34" s="381"/>
      <c r="IY34" s="381"/>
      <c r="IZ34" s="381"/>
      <c r="JA34" s="381"/>
      <c r="JB34" s="381"/>
      <c r="JC34" s="381"/>
      <c r="JD34" s="381"/>
      <c r="JE34" s="381"/>
      <c r="JF34" s="381"/>
      <c r="JG34" s="381"/>
      <c r="JH34" s="381"/>
      <c r="JI34" s="381"/>
      <c r="JJ34" s="381"/>
      <c r="JK34" s="381"/>
      <c r="JL34" s="381"/>
      <c r="JM34" s="381"/>
      <c r="JN34" s="381"/>
      <c r="JO34" s="381"/>
      <c r="JP34" s="381"/>
      <c r="JQ34" s="381"/>
      <c r="JR34" s="381"/>
      <c r="JS34" s="381"/>
      <c r="JT34" s="381"/>
      <c r="JU34" s="381"/>
      <c r="JV34" s="381"/>
      <c r="JW34" s="381"/>
      <c r="JX34" s="381"/>
      <c r="JY34" s="381"/>
      <c r="JZ34" s="381"/>
      <c r="KA34" s="381"/>
      <c r="KB34" s="381"/>
      <c r="KC34" s="381"/>
      <c r="KD34" s="381"/>
      <c r="KE34" s="381"/>
      <c r="KF34" s="381"/>
      <c r="KG34" s="381"/>
      <c r="KH34" s="381"/>
      <c r="KI34" s="381"/>
      <c r="KJ34" s="381"/>
      <c r="KK34" s="381"/>
      <c r="KL34" s="381"/>
      <c r="KM34" s="381"/>
      <c r="KN34" s="381"/>
      <c r="KO34" s="381"/>
      <c r="KP34" s="381"/>
      <c r="KQ34" s="381"/>
      <c r="KR34" s="381"/>
      <c r="KS34" s="381"/>
      <c r="KT34" s="381"/>
      <c r="KU34" s="381"/>
      <c r="KV34" s="381"/>
      <c r="KW34" s="381"/>
      <c r="KX34" s="381"/>
      <c r="KY34" s="381"/>
      <c r="KZ34" s="381"/>
      <c r="LA34" s="381"/>
      <c r="LB34" s="381"/>
      <c r="LC34" s="381"/>
      <c r="LD34" s="381"/>
      <c r="LE34" s="381"/>
      <c r="LF34" s="381"/>
      <c r="LG34" s="381"/>
      <c r="LH34" s="381"/>
      <c r="LI34" s="381"/>
      <c r="LJ34" s="381"/>
      <c r="LK34" s="381"/>
      <c r="LL34" s="381"/>
      <c r="LM34" s="381"/>
      <c r="LN34" s="381"/>
      <c r="LO34" s="381"/>
      <c r="LP34" s="381"/>
      <c r="LQ34" s="381"/>
      <c r="LR34" s="381"/>
      <c r="LS34" s="381"/>
      <c r="LT34" s="381"/>
      <c r="LU34" s="381"/>
      <c r="LV34" s="381"/>
      <c r="LW34" s="381"/>
      <c r="LX34" s="381"/>
      <c r="LY34" s="381"/>
      <c r="LZ34" s="381"/>
      <c r="MA34" s="381"/>
      <c r="MB34" s="381"/>
      <c r="MC34" s="381"/>
      <c r="MD34" s="381"/>
      <c r="ME34" s="381"/>
      <c r="MF34" s="381"/>
      <c r="MG34" s="381"/>
      <c r="MH34" s="381"/>
      <c r="MI34" s="381"/>
      <c r="MJ34" s="381"/>
      <c r="MK34" s="381"/>
      <c r="ML34" s="381"/>
      <c r="MM34" s="381"/>
      <c r="MN34" s="381"/>
      <c r="MO34" s="381"/>
      <c r="MP34" s="381"/>
      <c r="MQ34" s="381"/>
      <c r="MR34" s="381"/>
      <c r="MS34" s="381"/>
      <c r="MT34" s="381"/>
      <c r="MU34" s="381"/>
      <c r="MV34" s="381"/>
      <c r="MW34" s="381"/>
      <c r="MX34" s="381"/>
      <c r="MY34" s="381"/>
      <c r="MZ34" s="381"/>
      <c r="NA34" s="381"/>
      <c r="NB34" s="381"/>
      <c r="NC34" s="381"/>
      <c r="ND34" s="381"/>
      <c r="NE34" s="381"/>
      <c r="NF34" s="381"/>
      <c r="NG34" s="381"/>
      <c r="NH34" s="381"/>
      <c r="NI34" s="381"/>
      <c r="NJ34" s="381"/>
      <c r="NK34" s="381"/>
      <c r="NL34" s="381"/>
      <c r="NM34" s="381"/>
      <c r="NN34" s="381"/>
      <c r="NO34" s="381"/>
      <c r="NP34" s="381"/>
      <c r="NQ34" s="381"/>
      <c r="NR34" s="381"/>
      <c r="NS34" s="381"/>
      <c r="NT34" s="381"/>
      <c r="NU34" s="381"/>
      <c r="NV34" s="381"/>
      <c r="NW34" s="381"/>
      <c r="NX34" s="381"/>
      <c r="NY34" s="381"/>
      <c r="NZ34" s="381"/>
      <c r="OA34" s="381"/>
      <c r="OB34" s="381"/>
      <c r="OC34" s="381"/>
      <c r="OD34" s="381"/>
      <c r="OE34" s="381"/>
      <c r="OF34" s="381"/>
      <c r="OG34" s="381"/>
      <c r="OH34" s="381"/>
      <c r="OI34" s="381"/>
      <c r="OJ34" s="381"/>
      <c r="OK34" s="381"/>
      <c r="OL34" s="381"/>
      <c r="OM34" s="381"/>
      <c r="ON34" s="381"/>
      <c r="OO34" s="381"/>
      <c r="OP34" s="381"/>
      <c r="OQ34" s="381"/>
      <c r="OR34" s="381"/>
      <c r="OS34" s="381"/>
      <c r="OT34" s="381"/>
      <c r="OU34" s="381"/>
      <c r="OV34" s="381"/>
      <c r="OW34" s="381"/>
      <c r="OX34" s="381"/>
      <c r="OY34" s="381"/>
      <c r="OZ34" s="381"/>
      <c r="PA34" s="381"/>
      <c r="PB34" s="381"/>
      <c r="PC34" s="381"/>
      <c r="PD34" s="381"/>
      <c r="PE34" s="381"/>
      <c r="PF34" s="381"/>
      <c r="PG34" s="381"/>
      <c r="PH34" s="381"/>
      <c r="PI34" s="381"/>
      <c r="PJ34" s="381"/>
      <c r="PK34" s="381"/>
      <c r="PL34" s="381"/>
      <c r="PM34" s="381"/>
      <c r="PN34" s="381"/>
      <c r="PO34" s="381"/>
      <c r="PP34" s="381"/>
      <c r="PQ34" s="381"/>
      <c r="PR34" s="381"/>
      <c r="PS34" s="381"/>
      <c r="PT34" s="381"/>
      <c r="PU34" s="381"/>
      <c r="PV34" s="381"/>
      <c r="PW34" s="381"/>
      <c r="PX34" s="381"/>
      <c r="PY34" s="381"/>
      <c r="PZ34" s="381"/>
      <c r="QA34" s="381"/>
      <c r="QB34" s="381"/>
      <c r="QC34" s="381"/>
      <c r="QD34" s="381"/>
      <c r="QE34" s="381"/>
      <c r="QF34" s="381"/>
      <c r="QG34" s="381"/>
      <c r="QH34" s="381"/>
      <c r="QI34" s="381"/>
      <c r="QJ34" s="381"/>
      <c r="QK34" s="381"/>
      <c r="QL34" s="381"/>
      <c r="QM34" s="381"/>
      <c r="QN34" s="381"/>
      <c r="QO34" s="381"/>
      <c r="QP34" s="381"/>
      <c r="QQ34" s="381"/>
      <c r="QR34" s="381"/>
      <c r="QS34" s="381"/>
      <c r="QT34" s="381"/>
      <c r="QU34" s="381"/>
      <c r="QV34" s="381"/>
      <c r="QW34" s="381"/>
      <c r="QX34" s="381"/>
      <c r="QY34" s="381"/>
      <c r="QZ34" s="381"/>
      <c r="RA34" s="381"/>
      <c r="RB34" s="381"/>
      <c r="RC34" s="381"/>
      <c r="RD34" s="381"/>
      <c r="RE34" s="381"/>
      <c r="RF34" s="381"/>
      <c r="RG34" s="381"/>
      <c r="RH34" s="381"/>
      <c r="RI34" s="381"/>
      <c r="RJ34" s="381"/>
      <c r="RK34" s="381"/>
      <c r="RL34" s="381"/>
      <c r="RM34" s="381"/>
      <c r="RN34" s="381"/>
      <c r="RO34" s="381"/>
      <c r="RP34" s="381"/>
      <c r="RQ34" s="381"/>
      <c r="RR34" s="381"/>
      <c r="RS34" s="381"/>
      <c r="RT34" s="381"/>
      <c r="RU34" s="381"/>
      <c r="RV34" s="381"/>
      <c r="RW34" s="381"/>
      <c r="RX34" s="381"/>
      <c r="RY34" s="381"/>
      <c r="RZ34" s="381"/>
      <c r="SA34" s="381"/>
      <c r="SB34" s="381"/>
      <c r="SC34" s="381"/>
      <c r="SD34" s="381"/>
      <c r="SE34" s="381"/>
      <c r="SF34" s="381"/>
      <c r="SG34" s="381"/>
      <c r="SH34" s="381"/>
      <c r="SI34" s="381"/>
      <c r="SJ34" s="381"/>
      <c r="SK34" s="381"/>
      <c r="SL34" s="381"/>
      <c r="SM34" s="381"/>
      <c r="SN34" s="381"/>
      <c r="SO34" s="381"/>
      <c r="SP34" s="381"/>
      <c r="SQ34" s="381"/>
      <c r="SR34" s="381"/>
      <c r="SS34" s="381"/>
      <c r="ST34" s="381"/>
      <c r="SU34" s="381"/>
      <c r="SV34" s="381"/>
      <c r="SW34" s="381"/>
      <c r="SX34" s="381"/>
      <c r="SY34" s="381"/>
      <c r="SZ34" s="381"/>
      <c r="TA34" s="381"/>
      <c r="TB34" s="381"/>
      <c r="TC34" s="381"/>
      <c r="TD34" s="381"/>
      <c r="TE34" s="381"/>
      <c r="TF34" s="381"/>
      <c r="TG34" s="381"/>
      <c r="TH34" s="381"/>
      <c r="TI34" s="381"/>
      <c r="TJ34" s="381"/>
      <c r="TK34" s="381"/>
      <c r="TL34" s="381"/>
      <c r="TM34" s="381"/>
      <c r="TN34" s="381"/>
      <c r="TO34" s="381"/>
      <c r="TP34" s="381"/>
      <c r="TQ34" s="381"/>
      <c r="TR34" s="381"/>
      <c r="TS34" s="381"/>
      <c r="TT34" s="381"/>
      <c r="TU34" s="381"/>
      <c r="TV34" s="381"/>
      <c r="TW34" s="381"/>
      <c r="TX34" s="381"/>
      <c r="TY34" s="381"/>
      <c r="TZ34" s="381"/>
      <c r="UA34" s="381"/>
      <c r="UB34" s="381"/>
      <c r="UC34" s="381"/>
      <c r="UD34" s="381"/>
      <c r="UE34" s="381"/>
      <c r="UF34" s="381"/>
      <c r="UG34" s="381"/>
      <c r="UH34" s="381"/>
      <c r="UI34" s="381"/>
      <c r="UJ34" s="381"/>
      <c r="UK34" s="381"/>
      <c r="UL34" s="381"/>
      <c r="UM34" s="381"/>
      <c r="UN34" s="381"/>
      <c r="UO34" s="381"/>
      <c r="UP34" s="381"/>
      <c r="UQ34" s="381"/>
      <c r="UR34" s="381"/>
      <c r="US34" s="381"/>
      <c r="UT34" s="381"/>
      <c r="UU34" s="381"/>
      <c r="UV34" s="381"/>
      <c r="UW34" s="381"/>
      <c r="UX34" s="381"/>
      <c r="UY34" s="381"/>
      <c r="UZ34" s="381"/>
      <c r="VA34" s="381"/>
      <c r="VB34" s="381"/>
      <c r="VC34" s="381"/>
      <c r="VD34" s="381"/>
      <c r="VE34" s="381"/>
      <c r="VF34" s="381"/>
      <c r="VG34" s="381"/>
      <c r="VH34" s="381"/>
      <c r="VI34" s="381"/>
      <c r="VJ34" s="381"/>
      <c r="VK34" s="381"/>
      <c r="VL34" s="381"/>
      <c r="VM34" s="381"/>
      <c r="VN34" s="381"/>
      <c r="VO34" s="381"/>
      <c r="VP34" s="381"/>
      <c r="VQ34" s="381"/>
      <c r="VR34" s="381"/>
      <c r="VS34" s="381"/>
      <c r="VT34" s="381"/>
      <c r="VU34" s="381"/>
      <c r="VV34" s="381"/>
      <c r="VW34" s="381"/>
      <c r="VX34" s="381"/>
      <c r="VY34" s="381"/>
      <c r="VZ34" s="381"/>
      <c r="WA34" s="381"/>
      <c r="WB34" s="381"/>
      <c r="WC34" s="381"/>
      <c r="WD34" s="381"/>
      <c r="WE34" s="381"/>
      <c r="WF34" s="381"/>
      <c r="WG34" s="381"/>
      <c r="WH34" s="381"/>
      <c r="WI34" s="381"/>
      <c r="WJ34" s="381"/>
      <c r="WK34" s="381"/>
      <c r="WL34" s="381"/>
      <c r="WM34" s="381"/>
      <c r="WN34" s="381"/>
      <c r="WO34" s="381"/>
      <c r="WP34" s="381"/>
      <c r="WQ34" s="381"/>
      <c r="WR34" s="381"/>
      <c r="WS34" s="381"/>
      <c r="WT34" s="381"/>
      <c r="WU34" s="381"/>
      <c r="WV34" s="381"/>
      <c r="WW34" s="381"/>
      <c r="WX34" s="381"/>
      <c r="WY34" s="381"/>
      <c r="WZ34" s="381"/>
      <c r="XA34" s="381"/>
      <c r="XB34" s="381"/>
      <c r="XC34" s="381"/>
      <c r="XD34" s="381"/>
      <c r="XE34" s="381"/>
      <c r="XF34" s="381"/>
      <c r="XG34" s="381"/>
      <c r="XH34" s="381"/>
      <c r="XI34" s="381"/>
      <c r="XJ34" s="381"/>
      <c r="XK34" s="381"/>
      <c r="XL34" s="381"/>
      <c r="XM34" s="381"/>
      <c r="XN34" s="381"/>
      <c r="XO34" s="381"/>
      <c r="XP34" s="381"/>
      <c r="XQ34" s="381"/>
      <c r="XR34" s="381"/>
      <c r="XS34" s="381"/>
      <c r="XT34" s="381"/>
      <c r="XU34" s="381"/>
      <c r="XV34" s="381"/>
      <c r="XW34" s="381"/>
      <c r="XX34" s="381"/>
      <c r="XY34" s="381"/>
      <c r="XZ34" s="381"/>
      <c r="YA34" s="381"/>
      <c r="YB34" s="381"/>
      <c r="YC34" s="381"/>
      <c r="YD34" s="381"/>
      <c r="YE34" s="381"/>
      <c r="YF34" s="381"/>
      <c r="YG34" s="381"/>
      <c r="YH34" s="381"/>
      <c r="YI34" s="381"/>
      <c r="YJ34" s="381"/>
      <c r="YK34" s="381"/>
      <c r="YL34" s="381"/>
      <c r="YM34" s="381"/>
      <c r="YN34" s="381"/>
      <c r="YO34" s="381"/>
      <c r="YP34" s="381"/>
      <c r="YQ34" s="381"/>
      <c r="YR34" s="381"/>
      <c r="YS34" s="381"/>
      <c r="YT34" s="381"/>
      <c r="YU34" s="381"/>
      <c r="YV34" s="381"/>
      <c r="YW34" s="381"/>
      <c r="YX34" s="381"/>
      <c r="YY34" s="381"/>
      <c r="YZ34" s="381"/>
      <c r="ZA34" s="381"/>
      <c r="ZB34" s="381"/>
      <c r="ZC34" s="381"/>
      <c r="ZD34" s="381"/>
      <c r="ZE34" s="381"/>
      <c r="ZF34" s="381"/>
      <c r="ZG34" s="381"/>
      <c r="ZH34" s="381"/>
      <c r="ZI34" s="381"/>
      <c r="ZJ34" s="381"/>
      <c r="ZK34" s="381"/>
      <c r="ZL34" s="381"/>
      <c r="ZM34" s="381"/>
      <c r="ZN34" s="381"/>
      <c r="ZO34" s="381"/>
      <c r="ZP34" s="381"/>
      <c r="ZQ34" s="381"/>
      <c r="ZR34" s="381"/>
      <c r="ZS34" s="381"/>
      <c r="ZT34" s="381"/>
      <c r="ZU34" s="381"/>
      <c r="ZV34" s="381"/>
      <c r="ZW34" s="381"/>
      <c r="ZX34" s="381"/>
      <c r="ZY34" s="381"/>
      <c r="ZZ34" s="381"/>
      <c r="AAA34" s="381"/>
      <c r="AAB34" s="381"/>
      <c r="AAC34" s="381"/>
      <c r="AAD34" s="381"/>
      <c r="AAE34" s="381"/>
      <c r="AAF34" s="381"/>
      <c r="AAG34" s="381"/>
      <c r="AAH34" s="381"/>
      <c r="AAI34" s="381"/>
      <c r="AAJ34" s="381"/>
      <c r="AAK34" s="381"/>
      <c r="AAL34" s="381"/>
      <c r="AAM34" s="381"/>
      <c r="AAN34" s="381"/>
      <c r="AAO34" s="381"/>
      <c r="AAP34" s="381"/>
      <c r="AAQ34" s="381"/>
      <c r="AAR34" s="381"/>
      <c r="AAS34" s="381"/>
      <c r="AAT34" s="381"/>
      <c r="AAU34" s="381"/>
      <c r="AAV34" s="381"/>
      <c r="AAW34" s="381"/>
      <c r="AAX34" s="381"/>
      <c r="AAY34" s="381"/>
      <c r="AAZ34" s="381"/>
      <c r="ABA34" s="381"/>
      <c r="ABB34" s="381"/>
      <c r="ABC34" s="381"/>
      <c r="ABD34" s="381"/>
      <c r="ABE34" s="381"/>
      <c r="ABF34" s="381"/>
      <c r="ABG34" s="381"/>
      <c r="ABH34" s="381"/>
      <c r="ABI34" s="381"/>
      <c r="ABJ34" s="381"/>
      <c r="ABK34" s="381"/>
      <c r="ABL34" s="381"/>
      <c r="ABM34" s="381"/>
      <c r="ABN34" s="381"/>
      <c r="ABO34" s="381"/>
      <c r="ABP34" s="381"/>
      <c r="ABQ34" s="381"/>
      <c r="ABR34" s="381"/>
      <c r="ABS34" s="381"/>
      <c r="ABT34" s="381"/>
      <c r="ABU34" s="381"/>
      <c r="ABV34" s="381"/>
      <c r="ABW34" s="381"/>
      <c r="ABX34" s="381"/>
      <c r="ABY34" s="381"/>
      <c r="ABZ34" s="381"/>
      <c r="ACA34" s="381"/>
      <c r="ACB34" s="381"/>
      <c r="ACC34" s="381"/>
      <c r="ACD34" s="381"/>
      <c r="ACE34" s="381"/>
      <c r="ACF34" s="381"/>
      <c r="ACG34" s="381"/>
      <c r="ACH34" s="381"/>
      <c r="ACI34" s="381"/>
      <c r="ACJ34" s="381"/>
      <c r="ACK34" s="381"/>
      <c r="ACL34" s="381"/>
      <c r="ACM34" s="381"/>
      <c r="ACN34" s="381"/>
      <c r="ACO34" s="381"/>
      <c r="ACP34" s="381"/>
      <c r="ACQ34" s="381"/>
      <c r="ACR34" s="381"/>
      <c r="ACS34" s="381"/>
      <c r="ACT34" s="381"/>
      <c r="ACU34" s="381"/>
      <c r="ACV34" s="381"/>
      <c r="ACW34" s="381"/>
      <c r="ACX34" s="381"/>
      <c r="ACY34" s="381"/>
      <c r="ACZ34" s="381"/>
      <c r="ADA34" s="381"/>
      <c r="ADB34" s="381"/>
      <c r="ADC34" s="381"/>
      <c r="ADD34" s="381"/>
      <c r="ADE34" s="381"/>
      <c r="ADF34" s="381"/>
      <c r="ADG34" s="381"/>
      <c r="ADH34" s="381"/>
      <c r="ADI34" s="381"/>
      <c r="ADJ34" s="381"/>
      <c r="ADK34" s="381"/>
      <c r="ADL34" s="381"/>
      <c r="ADM34" s="381"/>
      <c r="ADN34" s="381"/>
      <c r="ADO34" s="381"/>
      <c r="ADP34" s="381"/>
      <c r="ADQ34" s="381"/>
      <c r="ADR34" s="381"/>
      <c r="ADS34" s="381"/>
      <c r="ADT34" s="381"/>
      <c r="ADU34" s="381"/>
      <c r="ADV34" s="381"/>
      <c r="ADW34" s="381"/>
      <c r="ADX34" s="381"/>
      <c r="ADY34" s="381"/>
      <c r="ADZ34" s="381"/>
      <c r="AEA34" s="381"/>
      <c r="AEB34" s="381"/>
      <c r="AEC34" s="381"/>
      <c r="AED34" s="381"/>
      <c r="AEE34" s="381"/>
      <c r="AEF34" s="381"/>
      <c r="AEG34" s="381"/>
      <c r="AEH34" s="381"/>
      <c r="AEI34" s="381"/>
      <c r="AEJ34" s="381"/>
      <c r="AEK34" s="381"/>
      <c r="AEL34" s="381"/>
      <c r="AEM34" s="381"/>
      <c r="AEN34" s="381"/>
      <c r="AEO34" s="381"/>
      <c r="AEP34" s="381"/>
      <c r="AEQ34" s="381"/>
      <c r="AER34" s="381"/>
      <c r="AES34" s="381"/>
      <c r="AET34" s="381"/>
      <c r="AEU34" s="381"/>
      <c r="AEV34" s="381"/>
      <c r="AEW34" s="381"/>
      <c r="AEX34" s="381"/>
      <c r="AEY34" s="381"/>
      <c r="AEZ34" s="381"/>
      <c r="AFA34" s="381"/>
      <c r="AFB34" s="381"/>
      <c r="AFC34" s="381"/>
      <c r="AFD34" s="381"/>
      <c r="AFE34" s="381"/>
      <c r="AFF34" s="381"/>
      <c r="AFG34" s="381"/>
      <c r="AFH34" s="381"/>
      <c r="AFI34" s="381"/>
      <c r="AFJ34" s="381"/>
      <c r="AFK34" s="381"/>
      <c r="AFL34" s="381"/>
      <c r="AFM34" s="381"/>
      <c r="AFN34" s="381"/>
      <c r="AFO34" s="381"/>
      <c r="AFP34" s="381"/>
      <c r="AFQ34" s="381"/>
      <c r="AFR34" s="381"/>
      <c r="AFS34" s="381"/>
      <c r="AFT34" s="381"/>
      <c r="AFU34" s="381"/>
      <c r="AFV34" s="381"/>
      <c r="AFW34" s="381"/>
      <c r="AFX34" s="381"/>
      <c r="AFY34" s="381"/>
      <c r="AFZ34" s="381"/>
      <c r="AGA34" s="381"/>
      <c r="AGB34" s="381"/>
      <c r="AGC34" s="381"/>
      <c r="AGD34" s="381"/>
      <c r="AGE34" s="381"/>
      <c r="AGF34" s="381"/>
      <c r="AGG34" s="381"/>
      <c r="AGH34" s="381"/>
      <c r="AGI34" s="381"/>
      <c r="AGJ34" s="381"/>
      <c r="AGK34" s="381"/>
      <c r="AGL34" s="381"/>
      <c r="AGM34" s="381"/>
      <c r="AGN34" s="381"/>
      <c r="AGO34" s="381"/>
      <c r="AGP34" s="381"/>
      <c r="AGQ34" s="381"/>
      <c r="AGR34" s="381"/>
      <c r="AGS34" s="381"/>
      <c r="AGT34" s="381"/>
      <c r="AGU34" s="381"/>
      <c r="AGV34" s="381"/>
      <c r="AGW34" s="381"/>
      <c r="AGX34" s="381"/>
      <c r="AGY34" s="381"/>
      <c r="AGZ34" s="381"/>
      <c r="AHA34" s="381"/>
      <c r="AHB34" s="381"/>
      <c r="AHC34" s="381"/>
      <c r="AHD34" s="381"/>
      <c r="AHE34" s="381"/>
      <c r="AHF34" s="381"/>
      <c r="AHG34" s="381"/>
      <c r="AHH34" s="381"/>
      <c r="AHI34" s="381"/>
      <c r="AHJ34" s="381"/>
      <c r="AHK34" s="381"/>
      <c r="AHL34" s="381"/>
      <c r="AHM34" s="381"/>
      <c r="AHN34" s="381"/>
      <c r="AHO34" s="381"/>
      <c r="AHP34" s="381"/>
      <c r="AHQ34" s="381"/>
      <c r="AHR34" s="381"/>
      <c r="AHS34" s="381"/>
      <c r="AHT34" s="381"/>
      <c r="AHU34" s="381"/>
      <c r="AHV34" s="381"/>
      <c r="AHW34" s="381"/>
      <c r="AHX34" s="381"/>
      <c r="AHY34" s="381"/>
      <c r="AHZ34" s="381"/>
      <c r="AIA34" s="381"/>
      <c r="AIB34" s="381"/>
      <c r="AIC34" s="381"/>
      <c r="AID34" s="381"/>
      <c r="AIE34" s="381"/>
      <c r="AIF34" s="381"/>
      <c r="AIG34" s="381"/>
      <c r="AIH34" s="381"/>
      <c r="AII34" s="381"/>
      <c r="AIJ34" s="381"/>
      <c r="AIK34" s="381"/>
      <c r="AIL34" s="381"/>
      <c r="AIM34" s="381"/>
      <c r="AIN34" s="381"/>
      <c r="AIO34" s="381"/>
      <c r="AIP34" s="381"/>
      <c r="AIQ34" s="381"/>
      <c r="AIR34" s="381"/>
      <c r="AIS34" s="381"/>
      <c r="AIT34" s="381"/>
      <c r="AIU34" s="381"/>
      <c r="AIV34" s="381"/>
      <c r="AIW34" s="381"/>
      <c r="AIX34" s="381"/>
      <c r="AIY34" s="381"/>
      <c r="AIZ34" s="381"/>
      <c r="AJA34" s="381"/>
      <c r="AJB34" s="381"/>
      <c r="AJC34" s="381"/>
      <c r="AJD34" s="381"/>
      <c r="AJE34" s="381"/>
      <c r="AJF34" s="381"/>
      <c r="AJG34" s="381"/>
      <c r="AJH34" s="381"/>
      <c r="AJI34" s="381"/>
      <c r="AJJ34" s="381"/>
      <c r="AJK34" s="381"/>
      <c r="AJL34" s="381"/>
      <c r="AJM34" s="381"/>
      <c r="AJN34" s="381"/>
      <c r="AJO34" s="381"/>
      <c r="AJP34" s="381"/>
      <c r="AJQ34" s="381"/>
      <c r="AJR34" s="381"/>
      <c r="AJS34" s="381"/>
      <c r="AJT34" s="381"/>
      <c r="AJU34" s="381"/>
      <c r="AJV34" s="381"/>
      <c r="AJW34" s="381"/>
      <c r="AJX34" s="381"/>
      <c r="AJY34" s="381"/>
      <c r="AJZ34" s="381"/>
      <c r="AKA34" s="381"/>
      <c r="AKB34" s="381"/>
      <c r="AKC34" s="381"/>
      <c r="AKD34" s="381"/>
      <c r="AKE34" s="381"/>
      <c r="AKF34" s="381"/>
      <c r="AKG34" s="381"/>
      <c r="AKH34" s="381"/>
      <c r="AKI34" s="381"/>
      <c r="AKJ34" s="381"/>
      <c r="AKK34" s="381"/>
      <c r="AKL34" s="381"/>
      <c r="AKM34" s="381"/>
      <c r="AKN34" s="381"/>
      <c r="AKO34" s="381"/>
      <c r="AKP34" s="381"/>
      <c r="AKQ34" s="381"/>
      <c r="AKR34" s="381"/>
      <c r="AKS34" s="381"/>
      <c r="AKT34" s="381"/>
      <c r="AKU34" s="381"/>
      <c r="AKV34" s="381"/>
      <c r="AKW34" s="381"/>
      <c r="AKX34" s="381"/>
      <c r="AKY34" s="381"/>
      <c r="AKZ34" s="381"/>
      <c r="ALA34" s="381"/>
      <c r="ALB34" s="381"/>
      <c r="ALC34" s="381"/>
    </row>
    <row r="35" spans="1:991" s="400" customFormat="1" ht="135" customHeight="1" thickBot="1" x14ac:dyDescent="0.3">
      <c r="A35" s="381"/>
      <c r="B35" s="360"/>
      <c r="C35" s="361" t="e">
        <f>J35-#REF!</f>
        <v>#REF!</v>
      </c>
      <c r="D35" s="362" t="s">
        <v>491</v>
      </c>
      <c r="E35" s="401"/>
      <c r="F35" s="402"/>
      <c r="G35" s="403"/>
      <c r="H35" s="404" t="s">
        <v>112</v>
      </c>
      <c r="I35" s="386" t="s">
        <v>492</v>
      </c>
      <c r="J35" s="405">
        <v>1100000</v>
      </c>
      <c r="K35" s="406">
        <f>17861.21+30006</f>
        <v>47867.21</v>
      </c>
      <c r="L35" s="407">
        <f>552132.79</f>
        <v>552132.79</v>
      </c>
      <c r="M35" s="408">
        <v>500000</v>
      </c>
      <c r="N35" s="408">
        <v>0</v>
      </c>
      <c r="O35" s="391">
        <v>0</v>
      </c>
      <c r="P35" s="407"/>
      <c r="Q35" s="408"/>
      <c r="R35" s="408"/>
      <c r="S35" s="409"/>
      <c r="T35" s="410"/>
      <c r="U35" s="407"/>
      <c r="V35" s="408"/>
      <c r="W35" s="408"/>
      <c r="X35" s="408"/>
      <c r="Y35" s="408"/>
      <c r="Z35" s="390"/>
      <c r="AA35" s="408"/>
      <c r="AB35" s="409"/>
      <c r="AC35" s="409"/>
      <c r="AD35" s="409"/>
      <c r="AE35" s="409"/>
      <c r="AF35" s="408"/>
      <c r="AG35" s="409"/>
      <c r="AH35" s="411"/>
      <c r="AI35" s="410"/>
      <c r="AJ35" s="407"/>
      <c r="AK35" s="408"/>
      <c r="AL35" s="412"/>
      <c r="AM35" s="376">
        <v>47867.21</v>
      </c>
      <c r="AN35" s="412">
        <v>500000</v>
      </c>
      <c r="AO35" s="376">
        <v>552132.79</v>
      </c>
      <c r="AP35" s="413"/>
      <c r="AQ35" s="390">
        <v>750000</v>
      </c>
      <c r="AR35" s="390"/>
      <c r="AS35" s="390">
        <v>0</v>
      </c>
      <c r="AT35" s="409"/>
      <c r="AU35" s="409"/>
      <c r="AV35" s="408"/>
      <c r="AW35" s="409"/>
      <c r="AX35" s="410"/>
      <c r="AY35" s="407"/>
      <c r="AZ35" s="414"/>
      <c r="BA35" s="415"/>
      <c r="BB35" s="416"/>
      <c r="BC35" s="381"/>
      <c r="BD35" s="381"/>
      <c r="BE35" s="381"/>
      <c r="BF35" s="381"/>
      <c r="BG35" s="381"/>
      <c r="BH35" s="381"/>
      <c r="BI35" s="381"/>
      <c r="BJ35" s="381"/>
      <c r="BK35" s="381"/>
      <c r="BL35" s="381"/>
      <c r="BM35" s="381"/>
      <c r="BN35" s="381"/>
      <c r="BO35" s="381"/>
      <c r="BP35" s="381"/>
      <c r="BQ35" s="381"/>
      <c r="BR35" s="381"/>
      <c r="BS35" s="381"/>
      <c r="BT35" s="381"/>
      <c r="BU35" s="381"/>
      <c r="BV35" s="381"/>
      <c r="BW35" s="381"/>
      <c r="BX35" s="381"/>
      <c r="BY35" s="381"/>
      <c r="BZ35" s="381"/>
      <c r="CA35" s="381"/>
      <c r="CB35" s="381"/>
      <c r="CC35" s="381"/>
      <c r="CD35" s="381"/>
      <c r="CE35" s="381"/>
      <c r="CF35" s="381"/>
      <c r="CG35" s="381"/>
      <c r="CH35" s="381"/>
      <c r="CI35" s="381"/>
      <c r="CJ35" s="381"/>
      <c r="CK35" s="381"/>
      <c r="CL35" s="381"/>
      <c r="CM35" s="381"/>
      <c r="CN35" s="381"/>
      <c r="CO35" s="381"/>
      <c r="CP35" s="381"/>
      <c r="CQ35" s="381"/>
      <c r="CR35" s="381"/>
      <c r="CS35" s="381"/>
      <c r="CT35" s="381"/>
      <c r="CU35" s="381"/>
      <c r="CV35" s="381"/>
      <c r="CW35" s="381"/>
      <c r="CX35" s="381"/>
      <c r="CY35" s="381"/>
      <c r="CZ35" s="381"/>
      <c r="DA35" s="381"/>
      <c r="DB35" s="381"/>
      <c r="DC35" s="381"/>
      <c r="DD35" s="381"/>
      <c r="DE35" s="381"/>
      <c r="DF35" s="381"/>
      <c r="DG35" s="381"/>
      <c r="DH35" s="381"/>
      <c r="DI35" s="381"/>
      <c r="DJ35" s="381"/>
      <c r="DK35" s="381"/>
      <c r="DL35" s="381"/>
      <c r="DM35" s="381"/>
      <c r="DN35" s="381"/>
      <c r="DO35" s="381"/>
      <c r="DP35" s="381"/>
      <c r="DQ35" s="381"/>
      <c r="DR35" s="381"/>
      <c r="DS35" s="381"/>
      <c r="DT35" s="381"/>
      <c r="DU35" s="381"/>
      <c r="DV35" s="381"/>
      <c r="DW35" s="381"/>
      <c r="DX35" s="381"/>
      <c r="DY35" s="381"/>
      <c r="DZ35" s="381"/>
      <c r="EA35" s="381"/>
      <c r="EB35" s="381"/>
      <c r="EC35" s="381"/>
      <c r="ED35" s="381"/>
      <c r="EE35" s="381"/>
      <c r="EF35" s="381"/>
      <c r="EG35" s="381"/>
      <c r="EH35" s="381"/>
      <c r="EI35" s="381"/>
      <c r="EJ35" s="381"/>
      <c r="EK35" s="381"/>
      <c r="EL35" s="381"/>
      <c r="EM35" s="381"/>
      <c r="EN35" s="381"/>
      <c r="EO35" s="381"/>
      <c r="EP35" s="381"/>
      <c r="EQ35" s="381"/>
      <c r="ER35" s="381"/>
      <c r="ES35" s="381"/>
      <c r="ET35" s="381"/>
      <c r="EU35" s="381"/>
      <c r="EV35" s="381"/>
      <c r="EW35" s="381"/>
      <c r="EX35" s="381"/>
      <c r="EY35" s="381"/>
      <c r="EZ35" s="381"/>
      <c r="FA35" s="381"/>
      <c r="FB35" s="381"/>
      <c r="FC35" s="381"/>
      <c r="FD35" s="381"/>
      <c r="FE35" s="381"/>
      <c r="FF35" s="381"/>
      <c r="FG35" s="381"/>
      <c r="FH35" s="381"/>
      <c r="FI35" s="381"/>
      <c r="FJ35" s="381"/>
      <c r="FK35" s="381"/>
      <c r="FL35" s="381"/>
      <c r="FM35" s="381"/>
      <c r="FN35" s="381"/>
      <c r="FO35" s="381"/>
      <c r="FP35" s="381"/>
      <c r="FQ35" s="381"/>
      <c r="FR35" s="381"/>
      <c r="FS35" s="381"/>
      <c r="FT35" s="381"/>
      <c r="FU35" s="381"/>
      <c r="FV35" s="381"/>
      <c r="FW35" s="381"/>
      <c r="FX35" s="381"/>
      <c r="FY35" s="381"/>
      <c r="FZ35" s="381"/>
      <c r="GA35" s="381"/>
      <c r="GB35" s="381"/>
      <c r="GC35" s="381"/>
      <c r="GD35" s="381"/>
      <c r="GE35" s="381"/>
      <c r="GF35" s="381"/>
      <c r="GG35" s="381"/>
      <c r="GH35" s="381"/>
      <c r="GI35" s="381"/>
      <c r="GJ35" s="381"/>
      <c r="GK35" s="381"/>
      <c r="GL35" s="381"/>
      <c r="GM35" s="381"/>
      <c r="GN35" s="381"/>
      <c r="GO35" s="381"/>
      <c r="GP35" s="381"/>
      <c r="GQ35" s="381"/>
      <c r="GR35" s="381"/>
      <c r="GS35" s="381"/>
      <c r="GT35" s="381"/>
      <c r="GU35" s="381"/>
      <c r="GV35" s="381"/>
      <c r="GW35" s="381"/>
      <c r="GX35" s="381"/>
      <c r="GY35" s="381"/>
      <c r="GZ35" s="381"/>
      <c r="HA35" s="381"/>
      <c r="HB35" s="381"/>
      <c r="HC35" s="381"/>
      <c r="HD35" s="381"/>
      <c r="HE35" s="381"/>
      <c r="HF35" s="381"/>
      <c r="HG35" s="381"/>
      <c r="HH35" s="381"/>
      <c r="HI35" s="381"/>
      <c r="HJ35" s="381"/>
      <c r="HK35" s="381"/>
      <c r="HL35" s="381"/>
      <c r="HM35" s="381"/>
      <c r="HN35" s="381"/>
      <c r="HO35" s="381"/>
      <c r="HP35" s="381"/>
      <c r="HQ35" s="381"/>
      <c r="HR35" s="381"/>
      <c r="HS35" s="381"/>
      <c r="HT35" s="381"/>
      <c r="HU35" s="381"/>
      <c r="HV35" s="381"/>
      <c r="HW35" s="381"/>
      <c r="HX35" s="381"/>
      <c r="HY35" s="381"/>
      <c r="HZ35" s="381"/>
      <c r="IA35" s="381"/>
      <c r="IB35" s="381"/>
      <c r="IC35" s="381"/>
      <c r="ID35" s="381"/>
      <c r="IE35" s="381"/>
      <c r="IF35" s="381"/>
      <c r="IG35" s="381"/>
      <c r="IH35" s="381"/>
      <c r="II35" s="381"/>
      <c r="IJ35" s="381"/>
      <c r="IK35" s="381"/>
      <c r="IL35" s="381"/>
      <c r="IM35" s="381"/>
      <c r="IN35" s="381"/>
      <c r="IO35" s="381"/>
      <c r="IP35" s="381"/>
      <c r="IQ35" s="381"/>
      <c r="IR35" s="381"/>
      <c r="IS35" s="381"/>
      <c r="IT35" s="381"/>
      <c r="IU35" s="381"/>
      <c r="IV35" s="381"/>
      <c r="IW35" s="381"/>
      <c r="IX35" s="381"/>
      <c r="IY35" s="381"/>
      <c r="IZ35" s="381"/>
      <c r="JA35" s="381"/>
      <c r="JB35" s="381"/>
      <c r="JC35" s="381"/>
      <c r="JD35" s="381"/>
      <c r="JE35" s="381"/>
      <c r="JF35" s="381"/>
      <c r="JG35" s="381"/>
      <c r="JH35" s="381"/>
      <c r="JI35" s="381"/>
      <c r="JJ35" s="381"/>
      <c r="JK35" s="381"/>
      <c r="JL35" s="381"/>
      <c r="JM35" s="381"/>
      <c r="JN35" s="381"/>
      <c r="JO35" s="381"/>
      <c r="JP35" s="381"/>
      <c r="JQ35" s="381"/>
      <c r="JR35" s="381"/>
      <c r="JS35" s="381"/>
      <c r="JT35" s="381"/>
      <c r="JU35" s="381"/>
      <c r="JV35" s="381"/>
      <c r="JW35" s="381"/>
      <c r="JX35" s="381"/>
      <c r="JY35" s="381"/>
      <c r="JZ35" s="381"/>
      <c r="KA35" s="381"/>
      <c r="KB35" s="381"/>
      <c r="KC35" s="381"/>
      <c r="KD35" s="381"/>
      <c r="KE35" s="381"/>
      <c r="KF35" s="381"/>
      <c r="KG35" s="381"/>
      <c r="KH35" s="381"/>
      <c r="KI35" s="381"/>
      <c r="KJ35" s="381"/>
      <c r="KK35" s="381"/>
      <c r="KL35" s="381"/>
      <c r="KM35" s="381"/>
      <c r="KN35" s="381"/>
      <c r="KO35" s="381"/>
      <c r="KP35" s="381"/>
      <c r="KQ35" s="381"/>
      <c r="KR35" s="381"/>
      <c r="KS35" s="381"/>
      <c r="KT35" s="381"/>
      <c r="KU35" s="381"/>
      <c r="KV35" s="381"/>
      <c r="KW35" s="381"/>
      <c r="KX35" s="381"/>
      <c r="KY35" s="381"/>
      <c r="KZ35" s="381"/>
      <c r="LA35" s="381"/>
      <c r="LB35" s="381"/>
      <c r="LC35" s="381"/>
      <c r="LD35" s="381"/>
      <c r="LE35" s="381"/>
      <c r="LF35" s="381"/>
      <c r="LG35" s="381"/>
      <c r="LH35" s="381"/>
      <c r="LI35" s="381"/>
      <c r="LJ35" s="381"/>
      <c r="LK35" s="381"/>
      <c r="LL35" s="381"/>
      <c r="LM35" s="381"/>
      <c r="LN35" s="381"/>
      <c r="LO35" s="381"/>
      <c r="LP35" s="381"/>
      <c r="LQ35" s="381"/>
      <c r="LR35" s="381"/>
      <c r="LS35" s="381"/>
      <c r="LT35" s="381"/>
      <c r="LU35" s="381"/>
      <c r="LV35" s="381"/>
      <c r="LW35" s="381"/>
      <c r="LX35" s="381"/>
      <c r="LY35" s="381"/>
      <c r="LZ35" s="381"/>
      <c r="MA35" s="381"/>
      <c r="MB35" s="381"/>
      <c r="MC35" s="381"/>
      <c r="MD35" s="381"/>
      <c r="ME35" s="381"/>
      <c r="MF35" s="381"/>
      <c r="MG35" s="381"/>
      <c r="MH35" s="381"/>
      <c r="MI35" s="381"/>
      <c r="MJ35" s="381"/>
      <c r="MK35" s="381"/>
      <c r="ML35" s="381"/>
      <c r="MM35" s="381"/>
      <c r="MN35" s="381"/>
      <c r="MO35" s="381"/>
      <c r="MP35" s="381"/>
      <c r="MQ35" s="381"/>
      <c r="MR35" s="381"/>
      <c r="MS35" s="381"/>
      <c r="MT35" s="381"/>
      <c r="MU35" s="381"/>
      <c r="MV35" s="381"/>
      <c r="MW35" s="381"/>
      <c r="MX35" s="381"/>
      <c r="MY35" s="381"/>
      <c r="MZ35" s="381"/>
      <c r="NA35" s="381"/>
      <c r="NB35" s="381"/>
      <c r="NC35" s="381"/>
      <c r="ND35" s="381"/>
      <c r="NE35" s="381"/>
      <c r="NF35" s="381"/>
      <c r="NG35" s="381"/>
      <c r="NH35" s="381"/>
      <c r="NI35" s="381"/>
      <c r="NJ35" s="381"/>
      <c r="NK35" s="381"/>
      <c r="NL35" s="381"/>
      <c r="NM35" s="381"/>
      <c r="NN35" s="381"/>
      <c r="NO35" s="381"/>
      <c r="NP35" s="381"/>
      <c r="NQ35" s="381"/>
      <c r="NR35" s="381"/>
      <c r="NS35" s="381"/>
      <c r="NT35" s="381"/>
      <c r="NU35" s="381"/>
      <c r="NV35" s="381"/>
      <c r="NW35" s="381"/>
      <c r="NX35" s="381"/>
      <c r="NY35" s="381"/>
      <c r="NZ35" s="381"/>
      <c r="OA35" s="381"/>
      <c r="OB35" s="381"/>
      <c r="OC35" s="381"/>
      <c r="OD35" s="381"/>
      <c r="OE35" s="381"/>
      <c r="OF35" s="381"/>
      <c r="OG35" s="381"/>
      <c r="OH35" s="381"/>
      <c r="OI35" s="381"/>
      <c r="OJ35" s="381"/>
      <c r="OK35" s="381"/>
      <c r="OL35" s="381"/>
      <c r="OM35" s="381"/>
      <c r="ON35" s="381"/>
      <c r="OO35" s="381"/>
      <c r="OP35" s="381"/>
      <c r="OQ35" s="381"/>
      <c r="OR35" s="381"/>
      <c r="OS35" s="381"/>
      <c r="OT35" s="381"/>
      <c r="OU35" s="381"/>
      <c r="OV35" s="381"/>
      <c r="OW35" s="381"/>
      <c r="OX35" s="381"/>
      <c r="OY35" s="381"/>
      <c r="OZ35" s="381"/>
      <c r="PA35" s="381"/>
      <c r="PB35" s="381"/>
      <c r="PC35" s="381"/>
      <c r="PD35" s="381"/>
      <c r="PE35" s="381"/>
      <c r="PF35" s="381"/>
      <c r="PG35" s="381"/>
      <c r="PH35" s="381"/>
      <c r="PI35" s="381"/>
      <c r="PJ35" s="381"/>
      <c r="PK35" s="381"/>
      <c r="PL35" s="381"/>
      <c r="PM35" s="381"/>
      <c r="PN35" s="381"/>
      <c r="PO35" s="381"/>
      <c r="PP35" s="381"/>
      <c r="PQ35" s="381"/>
      <c r="PR35" s="381"/>
      <c r="PS35" s="381"/>
      <c r="PT35" s="381"/>
      <c r="PU35" s="381"/>
      <c r="PV35" s="381"/>
      <c r="PW35" s="381"/>
      <c r="PX35" s="381"/>
      <c r="PY35" s="381"/>
      <c r="PZ35" s="381"/>
      <c r="QA35" s="381"/>
      <c r="QB35" s="381"/>
      <c r="QC35" s="381"/>
      <c r="QD35" s="381"/>
      <c r="QE35" s="381"/>
      <c r="QF35" s="381"/>
      <c r="QG35" s="381"/>
      <c r="QH35" s="381"/>
      <c r="QI35" s="381"/>
      <c r="QJ35" s="381"/>
      <c r="QK35" s="381"/>
      <c r="QL35" s="381"/>
      <c r="QM35" s="381"/>
      <c r="QN35" s="381"/>
      <c r="QO35" s="381"/>
      <c r="QP35" s="381"/>
      <c r="QQ35" s="381"/>
      <c r="QR35" s="381"/>
      <c r="QS35" s="381"/>
      <c r="QT35" s="381"/>
      <c r="QU35" s="381"/>
      <c r="QV35" s="381"/>
      <c r="QW35" s="381"/>
      <c r="QX35" s="381"/>
      <c r="QY35" s="381"/>
      <c r="QZ35" s="381"/>
      <c r="RA35" s="381"/>
      <c r="RB35" s="381"/>
      <c r="RC35" s="381"/>
      <c r="RD35" s="381"/>
      <c r="RE35" s="381"/>
      <c r="RF35" s="381"/>
      <c r="RG35" s="381"/>
      <c r="RH35" s="381"/>
      <c r="RI35" s="381"/>
      <c r="RJ35" s="381"/>
      <c r="RK35" s="381"/>
      <c r="RL35" s="381"/>
      <c r="RM35" s="381"/>
      <c r="RN35" s="381"/>
      <c r="RO35" s="381"/>
      <c r="RP35" s="381"/>
      <c r="RQ35" s="381"/>
      <c r="RR35" s="381"/>
      <c r="RS35" s="381"/>
      <c r="RT35" s="381"/>
      <c r="RU35" s="381"/>
      <c r="RV35" s="381"/>
      <c r="RW35" s="381"/>
      <c r="RX35" s="381"/>
      <c r="RY35" s="381"/>
      <c r="RZ35" s="381"/>
      <c r="SA35" s="381"/>
      <c r="SB35" s="381"/>
      <c r="SC35" s="381"/>
      <c r="SD35" s="381"/>
      <c r="SE35" s="381"/>
      <c r="SF35" s="381"/>
      <c r="SG35" s="381"/>
      <c r="SH35" s="381"/>
      <c r="SI35" s="381"/>
      <c r="SJ35" s="381"/>
      <c r="SK35" s="381"/>
      <c r="SL35" s="381"/>
      <c r="SM35" s="381"/>
      <c r="SN35" s="381"/>
      <c r="SO35" s="381"/>
      <c r="SP35" s="381"/>
      <c r="SQ35" s="381"/>
      <c r="SR35" s="381"/>
      <c r="SS35" s="381"/>
      <c r="ST35" s="381"/>
      <c r="SU35" s="381"/>
      <c r="SV35" s="381"/>
      <c r="SW35" s="381"/>
      <c r="SX35" s="381"/>
      <c r="SY35" s="381"/>
      <c r="SZ35" s="381"/>
      <c r="TA35" s="381"/>
      <c r="TB35" s="381"/>
      <c r="TC35" s="381"/>
      <c r="TD35" s="381"/>
      <c r="TE35" s="381"/>
      <c r="TF35" s="381"/>
      <c r="TG35" s="381"/>
      <c r="TH35" s="381"/>
      <c r="TI35" s="381"/>
      <c r="TJ35" s="381"/>
      <c r="TK35" s="381"/>
      <c r="TL35" s="381"/>
      <c r="TM35" s="381"/>
      <c r="TN35" s="381"/>
      <c r="TO35" s="381"/>
      <c r="TP35" s="381"/>
      <c r="TQ35" s="381"/>
      <c r="TR35" s="381"/>
      <c r="TS35" s="381"/>
      <c r="TT35" s="381"/>
      <c r="TU35" s="381"/>
      <c r="TV35" s="381"/>
      <c r="TW35" s="381"/>
      <c r="TX35" s="381"/>
      <c r="TY35" s="381"/>
      <c r="TZ35" s="381"/>
      <c r="UA35" s="381"/>
      <c r="UB35" s="381"/>
      <c r="UC35" s="381"/>
      <c r="UD35" s="381"/>
      <c r="UE35" s="381"/>
      <c r="UF35" s="381"/>
      <c r="UG35" s="381"/>
      <c r="UH35" s="381"/>
      <c r="UI35" s="381"/>
      <c r="UJ35" s="381"/>
      <c r="UK35" s="381"/>
      <c r="UL35" s="381"/>
      <c r="UM35" s="381"/>
      <c r="UN35" s="381"/>
      <c r="UO35" s="381"/>
      <c r="UP35" s="381"/>
      <c r="UQ35" s="381"/>
      <c r="UR35" s="381"/>
      <c r="US35" s="381"/>
      <c r="UT35" s="381"/>
      <c r="UU35" s="381"/>
      <c r="UV35" s="381"/>
      <c r="UW35" s="381"/>
      <c r="UX35" s="381"/>
      <c r="UY35" s="381"/>
      <c r="UZ35" s="381"/>
      <c r="VA35" s="381"/>
      <c r="VB35" s="381"/>
      <c r="VC35" s="381"/>
      <c r="VD35" s="381"/>
      <c r="VE35" s="381"/>
      <c r="VF35" s="381"/>
      <c r="VG35" s="381"/>
      <c r="VH35" s="381"/>
      <c r="VI35" s="381"/>
      <c r="VJ35" s="381"/>
      <c r="VK35" s="381"/>
      <c r="VL35" s="381"/>
      <c r="VM35" s="381"/>
      <c r="VN35" s="381"/>
      <c r="VO35" s="381"/>
      <c r="VP35" s="381"/>
      <c r="VQ35" s="381"/>
      <c r="VR35" s="381"/>
      <c r="VS35" s="381"/>
      <c r="VT35" s="381"/>
      <c r="VU35" s="381"/>
      <c r="VV35" s="381"/>
      <c r="VW35" s="381"/>
      <c r="VX35" s="381"/>
      <c r="VY35" s="381"/>
      <c r="VZ35" s="381"/>
      <c r="WA35" s="381"/>
      <c r="WB35" s="381"/>
      <c r="WC35" s="381"/>
      <c r="WD35" s="381"/>
      <c r="WE35" s="381"/>
      <c r="WF35" s="381"/>
      <c r="WG35" s="381"/>
      <c r="WH35" s="381"/>
      <c r="WI35" s="381"/>
      <c r="WJ35" s="381"/>
      <c r="WK35" s="381"/>
      <c r="WL35" s="381"/>
      <c r="WM35" s="381"/>
      <c r="WN35" s="381"/>
      <c r="WO35" s="381"/>
      <c r="WP35" s="381"/>
      <c r="WQ35" s="381"/>
      <c r="WR35" s="381"/>
      <c r="WS35" s="381"/>
      <c r="WT35" s="381"/>
      <c r="WU35" s="381"/>
      <c r="WV35" s="381"/>
      <c r="WW35" s="381"/>
      <c r="WX35" s="381"/>
      <c r="WY35" s="381"/>
      <c r="WZ35" s="381"/>
      <c r="XA35" s="381"/>
      <c r="XB35" s="381"/>
      <c r="XC35" s="381"/>
      <c r="XD35" s="381"/>
      <c r="XE35" s="381"/>
      <c r="XF35" s="381"/>
      <c r="XG35" s="381"/>
      <c r="XH35" s="381"/>
      <c r="XI35" s="381"/>
      <c r="XJ35" s="381"/>
      <c r="XK35" s="381"/>
      <c r="XL35" s="381"/>
      <c r="XM35" s="381"/>
      <c r="XN35" s="381"/>
      <c r="XO35" s="381"/>
      <c r="XP35" s="381"/>
      <c r="XQ35" s="381"/>
      <c r="XR35" s="381"/>
      <c r="XS35" s="381"/>
      <c r="XT35" s="381"/>
      <c r="XU35" s="381"/>
      <c r="XV35" s="381"/>
      <c r="XW35" s="381"/>
      <c r="XX35" s="381"/>
      <c r="XY35" s="381"/>
      <c r="XZ35" s="381"/>
      <c r="YA35" s="381"/>
      <c r="YB35" s="381"/>
      <c r="YC35" s="381"/>
      <c r="YD35" s="381"/>
      <c r="YE35" s="381"/>
      <c r="YF35" s="381"/>
      <c r="YG35" s="381"/>
      <c r="YH35" s="381"/>
      <c r="YI35" s="381"/>
      <c r="YJ35" s="381"/>
      <c r="YK35" s="381"/>
      <c r="YL35" s="381"/>
      <c r="YM35" s="381"/>
      <c r="YN35" s="381"/>
      <c r="YO35" s="381"/>
      <c r="YP35" s="381"/>
      <c r="YQ35" s="381"/>
      <c r="YR35" s="381"/>
      <c r="YS35" s="381"/>
      <c r="YT35" s="381"/>
      <c r="YU35" s="381"/>
      <c r="YV35" s="381"/>
      <c r="YW35" s="381"/>
      <c r="YX35" s="381"/>
      <c r="YY35" s="381"/>
      <c r="YZ35" s="381"/>
      <c r="ZA35" s="381"/>
      <c r="ZB35" s="381"/>
      <c r="ZC35" s="381"/>
      <c r="ZD35" s="381"/>
      <c r="ZE35" s="381"/>
      <c r="ZF35" s="381"/>
      <c r="ZG35" s="381"/>
      <c r="ZH35" s="381"/>
      <c r="ZI35" s="381"/>
      <c r="ZJ35" s="381"/>
      <c r="ZK35" s="381"/>
      <c r="ZL35" s="381"/>
      <c r="ZM35" s="381"/>
      <c r="ZN35" s="381"/>
      <c r="ZO35" s="381"/>
      <c r="ZP35" s="381"/>
      <c r="ZQ35" s="381"/>
      <c r="ZR35" s="381"/>
      <c r="ZS35" s="381"/>
      <c r="ZT35" s="381"/>
      <c r="ZU35" s="381"/>
      <c r="ZV35" s="381"/>
      <c r="ZW35" s="381"/>
      <c r="ZX35" s="381"/>
      <c r="ZY35" s="381"/>
      <c r="ZZ35" s="381"/>
      <c r="AAA35" s="381"/>
      <c r="AAB35" s="381"/>
      <c r="AAC35" s="381"/>
      <c r="AAD35" s="381"/>
      <c r="AAE35" s="381"/>
      <c r="AAF35" s="381"/>
      <c r="AAG35" s="381"/>
      <c r="AAH35" s="381"/>
      <c r="AAI35" s="381"/>
      <c r="AAJ35" s="381"/>
      <c r="AAK35" s="381"/>
      <c r="AAL35" s="381"/>
      <c r="AAM35" s="381"/>
      <c r="AAN35" s="381"/>
      <c r="AAO35" s="381"/>
      <c r="AAP35" s="381"/>
      <c r="AAQ35" s="381"/>
      <c r="AAR35" s="381"/>
      <c r="AAS35" s="381"/>
      <c r="AAT35" s="381"/>
      <c r="AAU35" s="381"/>
      <c r="AAV35" s="381"/>
      <c r="AAW35" s="381"/>
      <c r="AAX35" s="381"/>
      <c r="AAY35" s="381"/>
      <c r="AAZ35" s="381"/>
      <c r="ABA35" s="381"/>
      <c r="ABB35" s="381"/>
      <c r="ABC35" s="381"/>
      <c r="ABD35" s="381"/>
      <c r="ABE35" s="381"/>
      <c r="ABF35" s="381"/>
      <c r="ABG35" s="381"/>
      <c r="ABH35" s="381"/>
      <c r="ABI35" s="381"/>
      <c r="ABJ35" s="381"/>
      <c r="ABK35" s="381"/>
      <c r="ABL35" s="381"/>
      <c r="ABM35" s="381"/>
      <c r="ABN35" s="381"/>
      <c r="ABO35" s="381"/>
      <c r="ABP35" s="381"/>
      <c r="ABQ35" s="381"/>
      <c r="ABR35" s="381"/>
      <c r="ABS35" s="381"/>
      <c r="ABT35" s="381"/>
      <c r="ABU35" s="381"/>
      <c r="ABV35" s="381"/>
      <c r="ABW35" s="381"/>
      <c r="ABX35" s="381"/>
      <c r="ABY35" s="381"/>
      <c r="ABZ35" s="381"/>
      <c r="ACA35" s="381"/>
      <c r="ACB35" s="381"/>
      <c r="ACC35" s="381"/>
      <c r="ACD35" s="381"/>
      <c r="ACE35" s="381"/>
      <c r="ACF35" s="381"/>
      <c r="ACG35" s="381"/>
      <c r="ACH35" s="381"/>
      <c r="ACI35" s="381"/>
      <c r="ACJ35" s="381"/>
      <c r="ACK35" s="381"/>
      <c r="ACL35" s="381"/>
      <c r="ACM35" s="381"/>
      <c r="ACN35" s="381"/>
      <c r="ACO35" s="381"/>
      <c r="ACP35" s="381"/>
      <c r="ACQ35" s="381"/>
      <c r="ACR35" s="381"/>
      <c r="ACS35" s="381"/>
      <c r="ACT35" s="381"/>
      <c r="ACU35" s="381"/>
      <c r="ACV35" s="381"/>
      <c r="ACW35" s="381"/>
      <c r="ACX35" s="381"/>
      <c r="ACY35" s="381"/>
      <c r="ACZ35" s="381"/>
      <c r="ADA35" s="381"/>
      <c r="ADB35" s="381"/>
      <c r="ADC35" s="381"/>
      <c r="ADD35" s="381"/>
      <c r="ADE35" s="381"/>
      <c r="ADF35" s="381"/>
      <c r="ADG35" s="381"/>
      <c r="ADH35" s="381"/>
      <c r="ADI35" s="381"/>
      <c r="ADJ35" s="381"/>
      <c r="ADK35" s="381"/>
      <c r="ADL35" s="381"/>
      <c r="ADM35" s="381"/>
      <c r="ADN35" s="381"/>
      <c r="ADO35" s="381"/>
      <c r="ADP35" s="381"/>
      <c r="ADQ35" s="381"/>
      <c r="ADR35" s="381"/>
      <c r="ADS35" s="381"/>
      <c r="ADT35" s="381"/>
      <c r="ADU35" s="381"/>
      <c r="ADV35" s="381"/>
      <c r="ADW35" s="381"/>
      <c r="ADX35" s="381"/>
      <c r="ADY35" s="381"/>
      <c r="ADZ35" s="381"/>
      <c r="AEA35" s="381"/>
      <c r="AEB35" s="381"/>
      <c r="AEC35" s="381"/>
      <c r="AED35" s="381"/>
      <c r="AEE35" s="381"/>
      <c r="AEF35" s="381"/>
      <c r="AEG35" s="381"/>
      <c r="AEH35" s="381"/>
      <c r="AEI35" s="381"/>
      <c r="AEJ35" s="381"/>
      <c r="AEK35" s="381"/>
      <c r="AEL35" s="381"/>
      <c r="AEM35" s="381"/>
      <c r="AEN35" s="381"/>
      <c r="AEO35" s="381"/>
      <c r="AEP35" s="381"/>
      <c r="AEQ35" s="381"/>
      <c r="AER35" s="381"/>
      <c r="AES35" s="381"/>
      <c r="AET35" s="381"/>
      <c r="AEU35" s="381"/>
      <c r="AEV35" s="381"/>
      <c r="AEW35" s="381"/>
      <c r="AEX35" s="381"/>
      <c r="AEY35" s="381"/>
      <c r="AEZ35" s="381"/>
      <c r="AFA35" s="381"/>
      <c r="AFB35" s="381"/>
      <c r="AFC35" s="381"/>
      <c r="AFD35" s="381"/>
      <c r="AFE35" s="381"/>
      <c r="AFF35" s="381"/>
      <c r="AFG35" s="381"/>
      <c r="AFH35" s="381"/>
      <c r="AFI35" s="381"/>
      <c r="AFJ35" s="381"/>
      <c r="AFK35" s="381"/>
      <c r="AFL35" s="381"/>
      <c r="AFM35" s="381"/>
      <c r="AFN35" s="381"/>
      <c r="AFO35" s="381"/>
      <c r="AFP35" s="381"/>
      <c r="AFQ35" s="381"/>
      <c r="AFR35" s="381"/>
      <c r="AFS35" s="381"/>
      <c r="AFT35" s="381"/>
      <c r="AFU35" s="381"/>
      <c r="AFV35" s="381"/>
      <c r="AFW35" s="381"/>
      <c r="AFX35" s="381"/>
      <c r="AFY35" s="381"/>
      <c r="AFZ35" s="381"/>
      <c r="AGA35" s="381"/>
      <c r="AGB35" s="381"/>
      <c r="AGC35" s="381"/>
      <c r="AGD35" s="381"/>
      <c r="AGE35" s="381"/>
      <c r="AGF35" s="381"/>
      <c r="AGG35" s="381"/>
      <c r="AGH35" s="381"/>
      <c r="AGI35" s="381"/>
      <c r="AGJ35" s="381"/>
      <c r="AGK35" s="381"/>
      <c r="AGL35" s="381"/>
      <c r="AGM35" s="381"/>
      <c r="AGN35" s="381"/>
      <c r="AGO35" s="381"/>
      <c r="AGP35" s="381"/>
      <c r="AGQ35" s="381"/>
      <c r="AGR35" s="381"/>
      <c r="AGS35" s="381"/>
      <c r="AGT35" s="381"/>
      <c r="AGU35" s="381"/>
      <c r="AGV35" s="381"/>
      <c r="AGW35" s="381"/>
      <c r="AGX35" s="381"/>
      <c r="AGY35" s="381"/>
      <c r="AGZ35" s="381"/>
      <c r="AHA35" s="381"/>
      <c r="AHB35" s="381"/>
      <c r="AHC35" s="381"/>
      <c r="AHD35" s="381"/>
      <c r="AHE35" s="381"/>
      <c r="AHF35" s="381"/>
      <c r="AHG35" s="381"/>
      <c r="AHH35" s="381"/>
      <c r="AHI35" s="381"/>
      <c r="AHJ35" s="381"/>
      <c r="AHK35" s="381"/>
      <c r="AHL35" s="381"/>
      <c r="AHM35" s="381"/>
      <c r="AHN35" s="381"/>
      <c r="AHO35" s="381"/>
      <c r="AHP35" s="381"/>
      <c r="AHQ35" s="381"/>
      <c r="AHR35" s="381"/>
      <c r="AHS35" s="381"/>
      <c r="AHT35" s="381"/>
      <c r="AHU35" s="381"/>
      <c r="AHV35" s="381"/>
      <c r="AHW35" s="381"/>
      <c r="AHX35" s="381"/>
      <c r="AHY35" s="381"/>
      <c r="AHZ35" s="381"/>
      <c r="AIA35" s="381"/>
      <c r="AIB35" s="381"/>
      <c r="AIC35" s="381"/>
      <c r="AID35" s="381"/>
      <c r="AIE35" s="381"/>
      <c r="AIF35" s="381"/>
      <c r="AIG35" s="381"/>
      <c r="AIH35" s="381"/>
      <c r="AII35" s="381"/>
      <c r="AIJ35" s="381"/>
      <c r="AIK35" s="381"/>
      <c r="AIL35" s="381"/>
      <c r="AIM35" s="381"/>
      <c r="AIN35" s="381"/>
      <c r="AIO35" s="381"/>
      <c r="AIP35" s="381"/>
      <c r="AIQ35" s="381"/>
      <c r="AIR35" s="381"/>
      <c r="AIS35" s="381"/>
      <c r="AIT35" s="381"/>
      <c r="AIU35" s="381"/>
      <c r="AIV35" s="381"/>
      <c r="AIW35" s="381"/>
      <c r="AIX35" s="381"/>
      <c r="AIY35" s="381"/>
      <c r="AIZ35" s="381"/>
      <c r="AJA35" s="381"/>
      <c r="AJB35" s="381"/>
      <c r="AJC35" s="381"/>
      <c r="AJD35" s="381"/>
      <c r="AJE35" s="381"/>
      <c r="AJF35" s="381"/>
      <c r="AJG35" s="381"/>
      <c r="AJH35" s="381"/>
      <c r="AJI35" s="381"/>
      <c r="AJJ35" s="381"/>
      <c r="AJK35" s="381"/>
      <c r="AJL35" s="381"/>
      <c r="AJM35" s="381"/>
      <c r="AJN35" s="381"/>
      <c r="AJO35" s="381"/>
      <c r="AJP35" s="381"/>
      <c r="AJQ35" s="381"/>
      <c r="AJR35" s="381"/>
      <c r="AJS35" s="381"/>
      <c r="AJT35" s="381"/>
      <c r="AJU35" s="381"/>
      <c r="AJV35" s="381"/>
      <c r="AJW35" s="381"/>
      <c r="AJX35" s="381"/>
      <c r="AJY35" s="381"/>
      <c r="AJZ35" s="381"/>
      <c r="AKA35" s="381"/>
      <c r="AKB35" s="381"/>
      <c r="AKC35" s="381"/>
      <c r="AKD35" s="381"/>
      <c r="AKE35" s="381"/>
      <c r="AKF35" s="381"/>
      <c r="AKG35" s="381"/>
      <c r="AKH35" s="381"/>
      <c r="AKI35" s="381"/>
      <c r="AKJ35" s="381"/>
      <c r="AKK35" s="381"/>
      <c r="AKL35" s="381"/>
      <c r="AKM35" s="381"/>
      <c r="AKN35" s="381"/>
      <c r="AKO35" s="381"/>
      <c r="AKP35" s="381"/>
      <c r="AKQ35" s="381"/>
      <c r="AKR35" s="381"/>
      <c r="AKS35" s="381"/>
      <c r="AKT35" s="381"/>
      <c r="AKU35" s="381"/>
      <c r="AKV35" s="381"/>
      <c r="AKW35" s="381"/>
      <c r="AKX35" s="381"/>
      <c r="AKY35" s="381"/>
      <c r="AKZ35" s="381"/>
      <c r="ALA35" s="381"/>
      <c r="ALB35" s="381"/>
      <c r="ALC35" s="381"/>
    </row>
    <row r="36" spans="1:991" s="400" customFormat="1" ht="124.5" customHeight="1" thickBot="1" x14ac:dyDescent="0.3">
      <c r="A36" s="381"/>
      <c r="B36" s="360"/>
      <c r="C36" s="361" t="e">
        <f>J36-#REF!</f>
        <v>#REF!</v>
      </c>
      <c r="D36" s="362" t="s">
        <v>493</v>
      </c>
      <c r="E36" s="401"/>
      <c r="F36" s="402"/>
      <c r="G36" s="403"/>
      <c r="H36" s="404" t="s">
        <v>112</v>
      </c>
      <c r="I36" s="386" t="s">
        <v>494</v>
      </c>
      <c r="J36" s="405">
        <v>820000</v>
      </c>
      <c r="K36" s="406">
        <v>444568</v>
      </c>
      <c r="L36" s="407">
        <v>375432</v>
      </c>
      <c r="M36" s="408">
        <v>0</v>
      </c>
      <c r="N36" s="408">
        <v>0</v>
      </c>
      <c r="O36" s="391">
        <v>0</v>
      </c>
      <c r="P36" s="407"/>
      <c r="Q36" s="408"/>
      <c r="R36" s="408"/>
      <c r="S36" s="409"/>
      <c r="T36" s="410"/>
      <c r="U36" s="407"/>
      <c r="V36" s="408"/>
      <c r="W36" s="408"/>
      <c r="X36" s="408"/>
      <c r="Y36" s="408"/>
      <c r="Z36" s="390"/>
      <c r="AA36" s="408"/>
      <c r="AB36" s="409"/>
      <c r="AC36" s="409"/>
      <c r="AD36" s="409"/>
      <c r="AE36" s="409"/>
      <c r="AF36" s="408"/>
      <c r="AG36" s="409"/>
      <c r="AH36" s="411"/>
      <c r="AI36" s="410"/>
      <c r="AJ36" s="407"/>
      <c r="AK36" s="408"/>
      <c r="AL36" s="412"/>
      <c r="AM36" s="376">
        <v>444568</v>
      </c>
      <c r="AN36" s="412">
        <v>375432</v>
      </c>
      <c r="AO36" s="376">
        <v>0</v>
      </c>
      <c r="AP36" s="413"/>
      <c r="AQ36" s="390">
        <v>820000</v>
      </c>
      <c r="AR36" s="390"/>
      <c r="AS36" s="390">
        <v>0</v>
      </c>
      <c r="AT36" s="409"/>
      <c r="AU36" s="409"/>
      <c r="AV36" s="408"/>
      <c r="AW36" s="409"/>
      <c r="AX36" s="410"/>
      <c r="AY36" s="407"/>
      <c r="AZ36" s="414"/>
      <c r="BA36" s="415"/>
      <c r="BB36" s="416"/>
      <c r="BC36" s="381"/>
      <c r="BD36" s="381"/>
      <c r="BE36" s="381"/>
      <c r="BF36" s="381"/>
      <c r="BG36" s="381"/>
      <c r="BH36" s="381"/>
      <c r="BI36" s="381"/>
      <c r="BJ36" s="381"/>
      <c r="BK36" s="381"/>
      <c r="BL36" s="381"/>
      <c r="BM36" s="381"/>
      <c r="BN36" s="381"/>
      <c r="BO36" s="381"/>
      <c r="BP36" s="381"/>
      <c r="BQ36" s="381"/>
      <c r="BR36" s="381"/>
      <c r="BS36" s="381"/>
      <c r="BT36" s="381"/>
      <c r="BU36" s="381"/>
      <c r="BV36" s="381"/>
      <c r="BW36" s="381"/>
      <c r="BX36" s="381"/>
      <c r="BY36" s="381"/>
      <c r="BZ36" s="381"/>
      <c r="CA36" s="381"/>
      <c r="CB36" s="381"/>
      <c r="CC36" s="381"/>
      <c r="CD36" s="381"/>
      <c r="CE36" s="381"/>
      <c r="CF36" s="381"/>
      <c r="CG36" s="381"/>
      <c r="CH36" s="381"/>
      <c r="CI36" s="381"/>
      <c r="CJ36" s="381"/>
      <c r="CK36" s="381"/>
      <c r="CL36" s="381"/>
      <c r="CM36" s="381"/>
      <c r="CN36" s="381"/>
      <c r="CO36" s="381"/>
      <c r="CP36" s="381"/>
      <c r="CQ36" s="381"/>
      <c r="CR36" s="381"/>
      <c r="CS36" s="381"/>
      <c r="CT36" s="381"/>
      <c r="CU36" s="381"/>
      <c r="CV36" s="381"/>
      <c r="CW36" s="381"/>
      <c r="CX36" s="381"/>
      <c r="CY36" s="381"/>
      <c r="CZ36" s="381"/>
      <c r="DA36" s="381"/>
      <c r="DB36" s="381"/>
      <c r="DC36" s="381"/>
      <c r="DD36" s="381"/>
      <c r="DE36" s="381"/>
      <c r="DF36" s="381"/>
      <c r="DG36" s="381"/>
      <c r="DH36" s="381"/>
      <c r="DI36" s="381"/>
      <c r="DJ36" s="381"/>
      <c r="DK36" s="381"/>
      <c r="DL36" s="381"/>
      <c r="DM36" s="381"/>
      <c r="DN36" s="381"/>
      <c r="DO36" s="381"/>
      <c r="DP36" s="381"/>
      <c r="DQ36" s="381"/>
      <c r="DR36" s="381"/>
      <c r="DS36" s="381"/>
      <c r="DT36" s="381"/>
      <c r="DU36" s="381"/>
      <c r="DV36" s="381"/>
      <c r="DW36" s="381"/>
      <c r="DX36" s="381"/>
      <c r="DY36" s="381"/>
      <c r="DZ36" s="381"/>
      <c r="EA36" s="381"/>
      <c r="EB36" s="381"/>
      <c r="EC36" s="381"/>
      <c r="ED36" s="381"/>
      <c r="EE36" s="381"/>
      <c r="EF36" s="381"/>
      <c r="EG36" s="381"/>
      <c r="EH36" s="381"/>
      <c r="EI36" s="381"/>
      <c r="EJ36" s="381"/>
      <c r="EK36" s="381"/>
      <c r="EL36" s="381"/>
      <c r="EM36" s="381"/>
      <c r="EN36" s="381"/>
      <c r="EO36" s="381"/>
      <c r="EP36" s="381"/>
      <c r="EQ36" s="381"/>
      <c r="ER36" s="381"/>
      <c r="ES36" s="381"/>
      <c r="ET36" s="381"/>
      <c r="EU36" s="381"/>
      <c r="EV36" s="381"/>
      <c r="EW36" s="381"/>
      <c r="EX36" s="381"/>
      <c r="EY36" s="381"/>
      <c r="EZ36" s="381"/>
      <c r="FA36" s="381"/>
      <c r="FB36" s="381"/>
      <c r="FC36" s="381"/>
      <c r="FD36" s="381"/>
      <c r="FE36" s="381"/>
      <c r="FF36" s="381"/>
      <c r="FG36" s="381"/>
      <c r="FH36" s="381"/>
      <c r="FI36" s="381"/>
      <c r="FJ36" s="381"/>
      <c r="FK36" s="381"/>
      <c r="FL36" s="381"/>
      <c r="FM36" s="381"/>
      <c r="FN36" s="381"/>
      <c r="FO36" s="381"/>
      <c r="FP36" s="381"/>
      <c r="FQ36" s="381"/>
      <c r="FR36" s="381"/>
      <c r="FS36" s="381"/>
      <c r="FT36" s="381"/>
      <c r="FU36" s="381"/>
      <c r="FV36" s="381"/>
      <c r="FW36" s="381"/>
      <c r="FX36" s="381"/>
      <c r="FY36" s="381"/>
      <c r="FZ36" s="381"/>
      <c r="GA36" s="381"/>
      <c r="GB36" s="381"/>
      <c r="GC36" s="381"/>
      <c r="GD36" s="381"/>
      <c r="GE36" s="381"/>
      <c r="GF36" s="381"/>
      <c r="GG36" s="381"/>
      <c r="GH36" s="381"/>
      <c r="GI36" s="381"/>
      <c r="GJ36" s="381"/>
      <c r="GK36" s="381"/>
      <c r="GL36" s="381"/>
      <c r="GM36" s="381"/>
      <c r="GN36" s="381"/>
      <c r="GO36" s="381"/>
      <c r="GP36" s="381"/>
      <c r="GQ36" s="381"/>
      <c r="GR36" s="381"/>
      <c r="GS36" s="381"/>
      <c r="GT36" s="381"/>
      <c r="GU36" s="381"/>
      <c r="GV36" s="381"/>
      <c r="GW36" s="381"/>
      <c r="GX36" s="381"/>
      <c r="GY36" s="381"/>
      <c r="GZ36" s="381"/>
      <c r="HA36" s="381"/>
      <c r="HB36" s="381"/>
      <c r="HC36" s="381"/>
      <c r="HD36" s="381"/>
      <c r="HE36" s="381"/>
      <c r="HF36" s="381"/>
      <c r="HG36" s="381"/>
      <c r="HH36" s="381"/>
      <c r="HI36" s="381"/>
      <c r="HJ36" s="381"/>
      <c r="HK36" s="381"/>
      <c r="HL36" s="381"/>
      <c r="HM36" s="381"/>
      <c r="HN36" s="381"/>
      <c r="HO36" s="381"/>
      <c r="HP36" s="381"/>
      <c r="HQ36" s="381"/>
      <c r="HR36" s="381"/>
      <c r="HS36" s="381"/>
      <c r="HT36" s="381"/>
      <c r="HU36" s="381"/>
      <c r="HV36" s="381"/>
      <c r="HW36" s="381"/>
      <c r="HX36" s="381"/>
      <c r="HY36" s="381"/>
      <c r="HZ36" s="381"/>
      <c r="IA36" s="381"/>
      <c r="IB36" s="381"/>
      <c r="IC36" s="381"/>
      <c r="ID36" s="381"/>
      <c r="IE36" s="381"/>
      <c r="IF36" s="381"/>
      <c r="IG36" s="381"/>
      <c r="IH36" s="381"/>
      <c r="II36" s="381"/>
      <c r="IJ36" s="381"/>
      <c r="IK36" s="381"/>
      <c r="IL36" s="381"/>
      <c r="IM36" s="381"/>
      <c r="IN36" s="381"/>
      <c r="IO36" s="381"/>
      <c r="IP36" s="381"/>
      <c r="IQ36" s="381"/>
      <c r="IR36" s="381"/>
      <c r="IS36" s="381"/>
      <c r="IT36" s="381"/>
      <c r="IU36" s="381"/>
      <c r="IV36" s="381"/>
      <c r="IW36" s="381"/>
      <c r="IX36" s="381"/>
      <c r="IY36" s="381"/>
      <c r="IZ36" s="381"/>
      <c r="JA36" s="381"/>
      <c r="JB36" s="381"/>
      <c r="JC36" s="381"/>
      <c r="JD36" s="381"/>
      <c r="JE36" s="381"/>
      <c r="JF36" s="381"/>
      <c r="JG36" s="381"/>
      <c r="JH36" s="381"/>
      <c r="JI36" s="381"/>
      <c r="JJ36" s="381"/>
      <c r="JK36" s="381"/>
      <c r="JL36" s="381"/>
      <c r="JM36" s="381"/>
      <c r="JN36" s="381"/>
      <c r="JO36" s="381"/>
      <c r="JP36" s="381"/>
      <c r="JQ36" s="381"/>
      <c r="JR36" s="381"/>
      <c r="JS36" s="381"/>
      <c r="JT36" s="381"/>
      <c r="JU36" s="381"/>
      <c r="JV36" s="381"/>
      <c r="JW36" s="381"/>
      <c r="JX36" s="381"/>
      <c r="JY36" s="381"/>
      <c r="JZ36" s="381"/>
      <c r="KA36" s="381"/>
      <c r="KB36" s="381"/>
      <c r="KC36" s="381"/>
      <c r="KD36" s="381"/>
      <c r="KE36" s="381"/>
      <c r="KF36" s="381"/>
      <c r="KG36" s="381"/>
      <c r="KH36" s="381"/>
      <c r="KI36" s="381"/>
      <c r="KJ36" s="381"/>
      <c r="KK36" s="381"/>
      <c r="KL36" s="381"/>
      <c r="KM36" s="381"/>
      <c r="KN36" s="381"/>
      <c r="KO36" s="381"/>
      <c r="KP36" s="381"/>
      <c r="KQ36" s="381"/>
      <c r="KR36" s="381"/>
      <c r="KS36" s="381"/>
      <c r="KT36" s="381"/>
      <c r="KU36" s="381"/>
      <c r="KV36" s="381"/>
      <c r="KW36" s="381"/>
      <c r="KX36" s="381"/>
      <c r="KY36" s="381"/>
      <c r="KZ36" s="381"/>
      <c r="LA36" s="381"/>
      <c r="LB36" s="381"/>
      <c r="LC36" s="381"/>
      <c r="LD36" s="381"/>
      <c r="LE36" s="381"/>
      <c r="LF36" s="381"/>
      <c r="LG36" s="381"/>
      <c r="LH36" s="381"/>
      <c r="LI36" s="381"/>
      <c r="LJ36" s="381"/>
      <c r="LK36" s="381"/>
      <c r="LL36" s="381"/>
      <c r="LM36" s="381"/>
      <c r="LN36" s="381"/>
      <c r="LO36" s="381"/>
      <c r="LP36" s="381"/>
      <c r="LQ36" s="381"/>
      <c r="LR36" s="381"/>
      <c r="LS36" s="381"/>
      <c r="LT36" s="381"/>
      <c r="LU36" s="381"/>
      <c r="LV36" s="381"/>
      <c r="LW36" s="381"/>
      <c r="LX36" s="381"/>
      <c r="LY36" s="381"/>
      <c r="LZ36" s="381"/>
      <c r="MA36" s="381"/>
      <c r="MB36" s="381"/>
      <c r="MC36" s="381"/>
      <c r="MD36" s="381"/>
      <c r="ME36" s="381"/>
      <c r="MF36" s="381"/>
      <c r="MG36" s="381"/>
      <c r="MH36" s="381"/>
      <c r="MI36" s="381"/>
      <c r="MJ36" s="381"/>
      <c r="MK36" s="381"/>
      <c r="ML36" s="381"/>
      <c r="MM36" s="381"/>
      <c r="MN36" s="381"/>
      <c r="MO36" s="381"/>
      <c r="MP36" s="381"/>
      <c r="MQ36" s="381"/>
      <c r="MR36" s="381"/>
      <c r="MS36" s="381"/>
      <c r="MT36" s="381"/>
      <c r="MU36" s="381"/>
      <c r="MV36" s="381"/>
      <c r="MW36" s="381"/>
      <c r="MX36" s="381"/>
      <c r="MY36" s="381"/>
      <c r="MZ36" s="381"/>
      <c r="NA36" s="381"/>
      <c r="NB36" s="381"/>
      <c r="NC36" s="381"/>
      <c r="ND36" s="381"/>
      <c r="NE36" s="381"/>
      <c r="NF36" s="381"/>
      <c r="NG36" s="381"/>
      <c r="NH36" s="381"/>
      <c r="NI36" s="381"/>
      <c r="NJ36" s="381"/>
      <c r="NK36" s="381"/>
      <c r="NL36" s="381"/>
      <c r="NM36" s="381"/>
      <c r="NN36" s="381"/>
      <c r="NO36" s="381"/>
      <c r="NP36" s="381"/>
      <c r="NQ36" s="381"/>
      <c r="NR36" s="381"/>
      <c r="NS36" s="381"/>
      <c r="NT36" s="381"/>
      <c r="NU36" s="381"/>
      <c r="NV36" s="381"/>
      <c r="NW36" s="381"/>
      <c r="NX36" s="381"/>
      <c r="NY36" s="381"/>
      <c r="NZ36" s="381"/>
      <c r="OA36" s="381"/>
      <c r="OB36" s="381"/>
      <c r="OC36" s="381"/>
      <c r="OD36" s="381"/>
      <c r="OE36" s="381"/>
      <c r="OF36" s="381"/>
      <c r="OG36" s="381"/>
      <c r="OH36" s="381"/>
      <c r="OI36" s="381"/>
      <c r="OJ36" s="381"/>
      <c r="OK36" s="381"/>
      <c r="OL36" s="381"/>
      <c r="OM36" s="381"/>
      <c r="ON36" s="381"/>
      <c r="OO36" s="381"/>
      <c r="OP36" s="381"/>
      <c r="OQ36" s="381"/>
      <c r="OR36" s="381"/>
      <c r="OS36" s="381"/>
      <c r="OT36" s="381"/>
      <c r="OU36" s="381"/>
      <c r="OV36" s="381"/>
      <c r="OW36" s="381"/>
      <c r="OX36" s="381"/>
      <c r="OY36" s="381"/>
      <c r="OZ36" s="381"/>
      <c r="PA36" s="381"/>
      <c r="PB36" s="381"/>
      <c r="PC36" s="381"/>
      <c r="PD36" s="381"/>
      <c r="PE36" s="381"/>
      <c r="PF36" s="381"/>
      <c r="PG36" s="381"/>
      <c r="PH36" s="381"/>
      <c r="PI36" s="381"/>
      <c r="PJ36" s="381"/>
      <c r="PK36" s="381"/>
      <c r="PL36" s="381"/>
      <c r="PM36" s="381"/>
      <c r="PN36" s="381"/>
      <c r="PO36" s="381"/>
      <c r="PP36" s="381"/>
      <c r="PQ36" s="381"/>
      <c r="PR36" s="381"/>
      <c r="PS36" s="381"/>
      <c r="PT36" s="381"/>
      <c r="PU36" s="381"/>
      <c r="PV36" s="381"/>
      <c r="PW36" s="381"/>
      <c r="PX36" s="381"/>
      <c r="PY36" s="381"/>
      <c r="PZ36" s="381"/>
      <c r="QA36" s="381"/>
      <c r="QB36" s="381"/>
      <c r="QC36" s="381"/>
      <c r="QD36" s="381"/>
      <c r="QE36" s="381"/>
      <c r="QF36" s="381"/>
      <c r="QG36" s="381"/>
      <c r="QH36" s="381"/>
      <c r="QI36" s="381"/>
      <c r="QJ36" s="381"/>
      <c r="QK36" s="381"/>
      <c r="QL36" s="381"/>
      <c r="QM36" s="381"/>
      <c r="QN36" s="381"/>
      <c r="QO36" s="381"/>
      <c r="QP36" s="381"/>
      <c r="QQ36" s="381"/>
      <c r="QR36" s="381"/>
      <c r="QS36" s="381"/>
      <c r="QT36" s="381"/>
      <c r="QU36" s="381"/>
      <c r="QV36" s="381"/>
      <c r="QW36" s="381"/>
      <c r="QX36" s="381"/>
      <c r="QY36" s="381"/>
      <c r="QZ36" s="381"/>
      <c r="RA36" s="381"/>
      <c r="RB36" s="381"/>
      <c r="RC36" s="381"/>
      <c r="RD36" s="381"/>
      <c r="RE36" s="381"/>
      <c r="RF36" s="381"/>
      <c r="RG36" s="381"/>
      <c r="RH36" s="381"/>
      <c r="RI36" s="381"/>
      <c r="RJ36" s="381"/>
      <c r="RK36" s="381"/>
      <c r="RL36" s="381"/>
      <c r="RM36" s="381"/>
      <c r="RN36" s="381"/>
      <c r="RO36" s="381"/>
      <c r="RP36" s="381"/>
      <c r="RQ36" s="381"/>
      <c r="RR36" s="381"/>
      <c r="RS36" s="381"/>
      <c r="RT36" s="381"/>
      <c r="RU36" s="381"/>
      <c r="RV36" s="381"/>
      <c r="RW36" s="381"/>
      <c r="RX36" s="381"/>
      <c r="RY36" s="381"/>
      <c r="RZ36" s="381"/>
      <c r="SA36" s="381"/>
      <c r="SB36" s="381"/>
      <c r="SC36" s="381"/>
      <c r="SD36" s="381"/>
      <c r="SE36" s="381"/>
      <c r="SF36" s="381"/>
      <c r="SG36" s="381"/>
      <c r="SH36" s="381"/>
      <c r="SI36" s="381"/>
      <c r="SJ36" s="381"/>
      <c r="SK36" s="381"/>
      <c r="SL36" s="381"/>
      <c r="SM36" s="381"/>
      <c r="SN36" s="381"/>
      <c r="SO36" s="381"/>
      <c r="SP36" s="381"/>
      <c r="SQ36" s="381"/>
      <c r="SR36" s="381"/>
      <c r="SS36" s="381"/>
      <c r="ST36" s="381"/>
      <c r="SU36" s="381"/>
      <c r="SV36" s="381"/>
      <c r="SW36" s="381"/>
      <c r="SX36" s="381"/>
      <c r="SY36" s="381"/>
      <c r="SZ36" s="381"/>
      <c r="TA36" s="381"/>
      <c r="TB36" s="381"/>
      <c r="TC36" s="381"/>
      <c r="TD36" s="381"/>
      <c r="TE36" s="381"/>
      <c r="TF36" s="381"/>
      <c r="TG36" s="381"/>
      <c r="TH36" s="381"/>
      <c r="TI36" s="381"/>
      <c r="TJ36" s="381"/>
      <c r="TK36" s="381"/>
      <c r="TL36" s="381"/>
      <c r="TM36" s="381"/>
      <c r="TN36" s="381"/>
      <c r="TO36" s="381"/>
      <c r="TP36" s="381"/>
      <c r="TQ36" s="381"/>
      <c r="TR36" s="381"/>
      <c r="TS36" s="381"/>
      <c r="TT36" s="381"/>
      <c r="TU36" s="381"/>
      <c r="TV36" s="381"/>
      <c r="TW36" s="381"/>
      <c r="TX36" s="381"/>
      <c r="TY36" s="381"/>
      <c r="TZ36" s="381"/>
      <c r="UA36" s="381"/>
      <c r="UB36" s="381"/>
      <c r="UC36" s="381"/>
      <c r="UD36" s="381"/>
      <c r="UE36" s="381"/>
      <c r="UF36" s="381"/>
      <c r="UG36" s="381"/>
      <c r="UH36" s="381"/>
      <c r="UI36" s="381"/>
      <c r="UJ36" s="381"/>
      <c r="UK36" s="381"/>
      <c r="UL36" s="381"/>
      <c r="UM36" s="381"/>
      <c r="UN36" s="381"/>
      <c r="UO36" s="381"/>
      <c r="UP36" s="381"/>
      <c r="UQ36" s="381"/>
      <c r="UR36" s="381"/>
      <c r="US36" s="381"/>
      <c r="UT36" s="381"/>
      <c r="UU36" s="381"/>
      <c r="UV36" s="381"/>
      <c r="UW36" s="381"/>
      <c r="UX36" s="381"/>
      <c r="UY36" s="381"/>
      <c r="UZ36" s="381"/>
      <c r="VA36" s="381"/>
      <c r="VB36" s="381"/>
      <c r="VC36" s="381"/>
      <c r="VD36" s="381"/>
      <c r="VE36" s="381"/>
      <c r="VF36" s="381"/>
      <c r="VG36" s="381"/>
      <c r="VH36" s="381"/>
      <c r="VI36" s="381"/>
      <c r="VJ36" s="381"/>
      <c r="VK36" s="381"/>
      <c r="VL36" s="381"/>
      <c r="VM36" s="381"/>
      <c r="VN36" s="381"/>
      <c r="VO36" s="381"/>
      <c r="VP36" s="381"/>
      <c r="VQ36" s="381"/>
      <c r="VR36" s="381"/>
      <c r="VS36" s="381"/>
      <c r="VT36" s="381"/>
      <c r="VU36" s="381"/>
      <c r="VV36" s="381"/>
      <c r="VW36" s="381"/>
      <c r="VX36" s="381"/>
      <c r="VY36" s="381"/>
      <c r="VZ36" s="381"/>
      <c r="WA36" s="381"/>
      <c r="WB36" s="381"/>
      <c r="WC36" s="381"/>
      <c r="WD36" s="381"/>
      <c r="WE36" s="381"/>
      <c r="WF36" s="381"/>
      <c r="WG36" s="381"/>
      <c r="WH36" s="381"/>
      <c r="WI36" s="381"/>
      <c r="WJ36" s="381"/>
      <c r="WK36" s="381"/>
      <c r="WL36" s="381"/>
      <c r="WM36" s="381"/>
      <c r="WN36" s="381"/>
      <c r="WO36" s="381"/>
      <c r="WP36" s="381"/>
      <c r="WQ36" s="381"/>
      <c r="WR36" s="381"/>
      <c r="WS36" s="381"/>
      <c r="WT36" s="381"/>
      <c r="WU36" s="381"/>
      <c r="WV36" s="381"/>
      <c r="WW36" s="381"/>
      <c r="WX36" s="381"/>
      <c r="WY36" s="381"/>
      <c r="WZ36" s="381"/>
      <c r="XA36" s="381"/>
      <c r="XB36" s="381"/>
      <c r="XC36" s="381"/>
      <c r="XD36" s="381"/>
      <c r="XE36" s="381"/>
      <c r="XF36" s="381"/>
      <c r="XG36" s="381"/>
      <c r="XH36" s="381"/>
      <c r="XI36" s="381"/>
      <c r="XJ36" s="381"/>
      <c r="XK36" s="381"/>
      <c r="XL36" s="381"/>
      <c r="XM36" s="381"/>
      <c r="XN36" s="381"/>
      <c r="XO36" s="381"/>
      <c r="XP36" s="381"/>
      <c r="XQ36" s="381"/>
      <c r="XR36" s="381"/>
      <c r="XS36" s="381"/>
      <c r="XT36" s="381"/>
      <c r="XU36" s="381"/>
      <c r="XV36" s="381"/>
      <c r="XW36" s="381"/>
      <c r="XX36" s="381"/>
      <c r="XY36" s="381"/>
      <c r="XZ36" s="381"/>
      <c r="YA36" s="381"/>
      <c r="YB36" s="381"/>
      <c r="YC36" s="381"/>
      <c r="YD36" s="381"/>
      <c r="YE36" s="381"/>
      <c r="YF36" s="381"/>
      <c r="YG36" s="381"/>
      <c r="YH36" s="381"/>
      <c r="YI36" s="381"/>
      <c r="YJ36" s="381"/>
      <c r="YK36" s="381"/>
      <c r="YL36" s="381"/>
      <c r="YM36" s="381"/>
      <c r="YN36" s="381"/>
      <c r="YO36" s="381"/>
      <c r="YP36" s="381"/>
      <c r="YQ36" s="381"/>
      <c r="YR36" s="381"/>
      <c r="YS36" s="381"/>
      <c r="YT36" s="381"/>
      <c r="YU36" s="381"/>
      <c r="YV36" s="381"/>
      <c r="YW36" s="381"/>
      <c r="YX36" s="381"/>
      <c r="YY36" s="381"/>
      <c r="YZ36" s="381"/>
      <c r="ZA36" s="381"/>
      <c r="ZB36" s="381"/>
      <c r="ZC36" s="381"/>
      <c r="ZD36" s="381"/>
      <c r="ZE36" s="381"/>
      <c r="ZF36" s="381"/>
      <c r="ZG36" s="381"/>
      <c r="ZH36" s="381"/>
      <c r="ZI36" s="381"/>
      <c r="ZJ36" s="381"/>
      <c r="ZK36" s="381"/>
      <c r="ZL36" s="381"/>
      <c r="ZM36" s="381"/>
      <c r="ZN36" s="381"/>
      <c r="ZO36" s="381"/>
      <c r="ZP36" s="381"/>
      <c r="ZQ36" s="381"/>
      <c r="ZR36" s="381"/>
      <c r="ZS36" s="381"/>
      <c r="ZT36" s="381"/>
      <c r="ZU36" s="381"/>
      <c r="ZV36" s="381"/>
      <c r="ZW36" s="381"/>
      <c r="ZX36" s="381"/>
      <c r="ZY36" s="381"/>
      <c r="ZZ36" s="381"/>
      <c r="AAA36" s="381"/>
      <c r="AAB36" s="381"/>
      <c r="AAC36" s="381"/>
      <c r="AAD36" s="381"/>
      <c r="AAE36" s="381"/>
      <c r="AAF36" s="381"/>
      <c r="AAG36" s="381"/>
      <c r="AAH36" s="381"/>
      <c r="AAI36" s="381"/>
      <c r="AAJ36" s="381"/>
      <c r="AAK36" s="381"/>
      <c r="AAL36" s="381"/>
      <c r="AAM36" s="381"/>
      <c r="AAN36" s="381"/>
      <c r="AAO36" s="381"/>
      <c r="AAP36" s="381"/>
      <c r="AAQ36" s="381"/>
      <c r="AAR36" s="381"/>
      <c r="AAS36" s="381"/>
      <c r="AAT36" s="381"/>
      <c r="AAU36" s="381"/>
      <c r="AAV36" s="381"/>
      <c r="AAW36" s="381"/>
      <c r="AAX36" s="381"/>
      <c r="AAY36" s="381"/>
      <c r="AAZ36" s="381"/>
      <c r="ABA36" s="381"/>
      <c r="ABB36" s="381"/>
      <c r="ABC36" s="381"/>
      <c r="ABD36" s="381"/>
      <c r="ABE36" s="381"/>
      <c r="ABF36" s="381"/>
      <c r="ABG36" s="381"/>
      <c r="ABH36" s="381"/>
      <c r="ABI36" s="381"/>
      <c r="ABJ36" s="381"/>
      <c r="ABK36" s="381"/>
      <c r="ABL36" s="381"/>
      <c r="ABM36" s="381"/>
      <c r="ABN36" s="381"/>
      <c r="ABO36" s="381"/>
      <c r="ABP36" s="381"/>
      <c r="ABQ36" s="381"/>
      <c r="ABR36" s="381"/>
      <c r="ABS36" s="381"/>
      <c r="ABT36" s="381"/>
      <c r="ABU36" s="381"/>
      <c r="ABV36" s="381"/>
      <c r="ABW36" s="381"/>
      <c r="ABX36" s="381"/>
      <c r="ABY36" s="381"/>
      <c r="ABZ36" s="381"/>
      <c r="ACA36" s="381"/>
      <c r="ACB36" s="381"/>
      <c r="ACC36" s="381"/>
      <c r="ACD36" s="381"/>
      <c r="ACE36" s="381"/>
      <c r="ACF36" s="381"/>
      <c r="ACG36" s="381"/>
      <c r="ACH36" s="381"/>
      <c r="ACI36" s="381"/>
      <c r="ACJ36" s="381"/>
      <c r="ACK36" s="381"/>
      <c r="ACL36" s="381"/>
      <c r="ACM36" s="381"/>
      <c r="ACN36" s="381"/>
      <c r="ACO36" s="381"/>
      <c r="ACP36" s="381"/>
      <c r="ACQ36" s="381"/>
      <c r="ACR36" s="381"/>
      <c r="ACS36" s="381"/>
      <c r="ACT36" s="381"/>
      <c r="ACU36" s="381"/>
      <c r="ACV36" s="381"/>
      <c r="ACW36" s="381"/>
      <c r="ACX36" s="381"/>
      <c r="ACY36" s="381"/>
      <c r="ACZ36" s="381"/>
      <c r="ADA36" s="381"/>
      <c r="ADB36" s="381"/>
      <c r="ADC36" s="381"/>
      <c r="ADD36" s="381"/>
      <c r="ADE36" s="381"/>
      <c r="ADF36" s="381"/>
      <c r="ADG36" s="381"/>
      <c r="ADH36" s="381"/>
      <c r="ADI36" s="381"/>
      <c r="ADJ36" s="381"/>
      <c r="ADK36" s="381"/>
      <c r="ADL36" s="381"/>
      <c r="ADM36" s="381"/>
      <c r="ADN36" s="381"/>
      <c r="ADO36" s="381"/>
      <c r="ADP36" s="381"/>
      <c r="ADQ36" s="381"/>
      <c r="ADR36" s="381"/>
      <c r="ADS36" s="381"/>
      <c r="ADT36" s="381"/>
      <c r="ADU36" s="381"/>
      <c r="ADV36" s="381"/>
      <c r="ADW36" s="381"/>
      <c r="ADX36" s="381"/>
      <c r="ADY36" s="381"/>
      <c r="ADZ36" s="381"/>
      <c r="AEA36" s="381"/>
      <c r="AEB36" s="381"/>
      <c r="AEC36" s="381"/>
      <c r="AED36" s="381"/>
      <c r="AEE36" s="381"/>
      <c r="AEF36" s="381"/>
      <c r="AEG36" s="381"/>
      <c r="AEH36" s="381"/>
      <c r="AEI36" s="381"/>
      <c r="AEJ36" s="381"/>
      <c r="AEK36" s="381"/>
      <c r="AEL36" s="381"/>
      <c r="AEM36" s="381"/>
      <c r="AEN36" s="381"/>
      <c r="AEO36" s="381"/>
      <c r="AEP36" s="381"/>
      <c r="AEQ36" s="381"/>
      <c r="AER36" s="381"/>
      <c r="AES36" s="381"/>
      <c r="AET36" s="381"/>
      <c r="AEU36" s="381"/>
      <c r="AEV36" s="381"/>
      <c r="AEW36" s="381"/>
      <c r="AEX36" s="381"/>
      <c r="AEY36" s="381"/>
      <c r="AEZ36" s="381"/>
      <c r="AFA36" s="381"/>
      <c r="AFB36" s="381"/>
      <c r="AFC36" s="381"/>
      <c r="AFD36" s="381"/>
      <c r="AFE36" s="381"/>
      <c r="AFF36" s="381"/>
      <c r="AFG36" s="381"/>
      <c r="AFH36" s="381"/>
      <c r="AFI36" s="381"/>
      <c r="AFJ36" s="381"/>
      <c r="AFK36" s="381"/>
      <c r="AFL36" s="381"/>
      <c r="AFM36" s="381"/>
      <c r="AFN36" s="381"/>
      <c r="AFO36" s="381"/>
      <c r="AFP36" s="381"/>
      <c r="AFQ36" s="381"/>
      <c r="AFR36" s="381"/>
      <c r="AFS36" s="381"/>
      <c r="AFT36" s="381"/>
      <c r="AFU36" s="381"/>
      <c r="AFV36" s="381"/>
      <c r="AFW36" s="381"/>
      <c r="AFX36" s="381"/>
      <c r="AFY36" s="381"/>
      <c r="AFZ36" s="381"/>
      <c r="AGA36" s="381"/>
      <c r="AGB36" s="381"/>
      <c r="AGC36" s="381"/>
      <c r="AGD36" s="381"/>
      <c r="AGE36" s="381"/>
      <c r="AGF36" s="381"/>
      <c r="AGG36" s="381"/>
      <c r="AGH36" s="381"/>
      <c r="AGI36" s="381"/>
      <c r="AGJ36" s="381"/>
      <c r="AGK36" s="381"/>
      <c r="AGL36" s="381"/>
      <c r="AGM36" s="381"/>
      <c r="AGN36" s="381"/>
      <c r="AGO36" s="381"/>
      <c r="AGP36" s="381"/>
      <c r="AGQ36" s="381"/>
      <c r="AGR36" s="381"/>
      <c r="AGS36" s="381"/>
      <c r="AGT36" s="381"/>
      <c r="AGU36" s="381"/>
      <c r="AGV36" s="381"/>
      <c r="AGW36" s="381"/>
      <c r="AGX36" s="381"/>
      <c r="AGY36" s="381"/>
      <c r="AGZ36" s="381"/>
      <c r="AHA36" s="381"/>
      <c r="AHB36" s="381"/>
      <c r="AHC36" s="381"/>
      <c r="AHD36" s="381"/>
      <c r="AHE36" s="381"/>
      <c r="AHF36" s="381"/>
      <c r="AHG36" s="381"/>
      <c r="AHH36" s="381"/>
      <c r="AHI36" s="381"/>
      <c r="AHJ36" s="381"/>
      <c r="AHK36" s="381"/>
      <c r="AHL36" s="381"/>
      <c r="AHM36" s="381"/>
      <c r="AHN36" s="381"/>
      <c r="AHO36" s="381"/>
      <c r="AHP36" s="381"/>
      <c r="AHQ36" s="381"/>
      <c r="AHR36" s="381"/>
      <c r="AHS36" s="381"/>
      <c r="AHT36" s="381"/>
      <c r="AHU36" s="381"/>
      <c r="AHV36" s="381"/>
      <c r="AHW36" s="381"/>
      <c r="AHX36" s="381"/>
      <c r="AHY36" s="381"/>
      <c r="AHZ36" s="381"/>
      <c r="AIA36" s="381"/>
      <c r="AIB36" s="381"/>
      <c r="AIC36" s="381"/>
      <c r="AID36" s="381"/>
      <c r="AIE36" s="381"/>
      <c r="AIF36" s="381"/>
      <c r="AIG36" s="381"/>
      <c r="AIH36" s="381"/>
      <c r="AII36" s="381"/>
      <c r="AIJ36" s="381"/>
      <c r="AIK36" s="381"/>
      <c r="AIL36" s="381"/>
      <c r="AIM36" s="381"/>
      <c r="AIN36" s="381"/>
      <c r="AIO36" s="381"/>
      <c r="AIP36" s="381"/>
      <c r="AIQ36" s="381"/>
      <c r="AIR36" s="381"/>
      <c r="AIS36" s="381"/>
      <c r="AIT36" s="381"/>
      <c r="AIU36" s="381"/>
      <c r="AIV36" s="381"/>
      <c r="AIW36" s="381"/>
      <c r="AIX36" s="381"/>
      <c r="AIY36" s="381"/>
      <c r="AIZ36" s="381"/>
      <c r="AJA36" s="381"/>
      <c r="AJB36" s="381"/>
      <c r="AJC36" s="381"/>
      <c r="AJD36" s="381"/>
      <c r="AJE36" s="381"/>
      <c r="AJF36" s="381"/>
      <c r="AJG36" s="381"/>
      <c r="AJH36" s="381"/>
      <c r="AJI36" s="381"/>
      <c r="AJJ36" s="381"/>
      <c r="AJK36" s="381"/>
      <c r="AJL36" s="381"/>
      <c r="AJM36" s="381"/>
      <c r="AJN36" s="381"/>
      <c r="AJO36" s="381"/>
      <c r="AJP36" s="381"/>
      <c r="AJQ36" s="381"/>
      <c r="AJR36" s="381"/>
      <c r="AJS36" s="381"/>
      <c r="AJT36" s="381"/>
      <c r="AJU36" s="381"/>
      <c r="AJV36" s="381"/>
      <c r="AJW36" s="381"/>
      <c r="AJX36" s="381"/>
      <c r="AJY36" s="381"/>
      <c r="AJZ36" s="381"/>
      <c r="AKA36" s="381"/>
      <c r="AKB36" s="381"/>
      <c r="AKC36" s="381"/>
      <c r="AKD36" s="381"/>
      <c r="AKE36" s="381"/>
      <c r="AKF36" s="381"/>
      <c r="AKG36" s="381"/>
      <c r="AKH36" s="381"/>
      <c r="AKI36" s="381"/>
      <c r="AKJ36" s="381"/>
      <c r="AKK36" s="381"/>
      <c r="AKL36" s="381"/>
      <c r="AKM36" s="381"/>
      <c r="AKN36" s="381"/>
      <c r="AKO36" s="381"/>
      <c r="AKP36" s="381"/>
      <c r="AKQ36" s="381"/>
      <c r="AKR36" s="381"/>
      <c r="AKS36" s="381"/>
      <c r="AKT36" s="381"/>
      <c r="AKU36" s="381"/>
      <c r="AKV36" s="381"/>
      <c r="AKW36" s="381"/>
      <c r="AKX36" s="381"/>
      <c r="AKY36" s="381"/>
      <c r="AKZ36" s="381"/>
      <c r="ALA36" s="381"/>
      <c r="ALB36" s="381"/>
      <c r="ALC36" s="381"/>
    </row>
    <row r="37" spans="1:991" s="400" customFormat="1" ht="125.25" customHeight="1" thickBot="1" x14ac:dyDescent="0.3">
      <c r="A37" s="381"/>
      <c r="B37" s="360"/>
      <c r="C37" s="417" t="e">
        <f>J37-#REF!</f>
        <v>#REF!</v>
      </c>
      <c r="D37" s="362" t="s">
        <v>495</v>
      </c>
      <c r="E37" s="401"/>
      <c r="F37" s="402"/>
      <c r="G37" s="403"/>
      <c r="H37" s="404" t="s">
        <v>160</v>
      </c>
      <c r="I37" s="386" t="s">
        <v>496</v>
      </c>
      <c r="J37" s="405">
        <v>950000</v>
      </c>
      <c r="K37" s="406"/>
      <c r="L37" s="407">
        <v>0</v>
      </c>
      <c r="M37" s="408">
        <v>190000</v>
      </c>
      <c r="N37" s="408">
        <v>0</v>
      </c>
      <c r="O37" s="418">
        <v>760000</v>
      </c>
      <c r="P37" s="407"/>
      <c r="Q37" s="408"/>
      <c r="R37" s="408"/>
      <c r="S37" s="409"/>
      <c r="T37" s="410"/>
      <c r="U37" s="407"/>
      <c r="V37" s="408"/>
      <c r="W37" s="408"/>
      <c r="X37" s="408"/>
      <c r="Y37" s="408"/>
      <c r="Z37" s="390"/>
      <c r="AA37" s="408"/>
      <c r="AB37" s="409"/>
      <c r="AC37" s="409"/>
      <c r="AD37" s="409"/>
      <c r="AE37" s="409"/>
      <c r="AF37" s="408"/>
      <c r="AG37" s="409"/>
      <c r="AH37" s="411"/>
      <c r="AI37" s="410"/>
      <c r="AJ37" s="407"/>
      <c r="AK37" s="408"/>
      <c r="AL37" s="412"/>
      <c r="AM37" s="376">
        <v>0</v>
      </c>
      <c r="AN37" s="412">
        <v>190000</v>
      </c>
      <c r="AO37" s="376">
        <v>0</v>
      </c>
      <c r="AP37" s="413"/>
      <c r="AQ37" s="408"/>
      <c r="AR37" s="408"/>
      <c r="AS37" s="390">
        <v>760000</v>
      </c>
      <c r="AT37" s="409"/>
      <c r="AU37" s="409"/>
      <c r="AV37" s="408"/>
      <c r="AW37" s="409"/>
      <c r="AX37" s="410"/>
      <c r="AY37" s="407"/>
      <c r="AZ37" s="414"/>
      <c r="BA37" s="415"/>
      <c r="BB37" s="416"/>
      <c r="BC37" s="381"/>
      <c r="BD37" s="381"/>
      <c r="BE37" s="381"/>
      <c r="BF37" s="381"/>
      <c r="BG37" s="381"/>
      <c r="BH37" s="381"/>
      <c r="BI37" s="381"/>
      <c r="BJ37" s="381"/>
      <c r="BK37" s="381"/>
      <c r="BL37" s="381"/>
      <c r="BM37" s="381"/>
      <c r="BN37" s="381"/>
      <c r="BO37" s="381"/>
      <c r="BP37" s="381"/>
      <c r="BQ37" s="381"/>
      <c r="BR37" s="381"/>
      <c r="BS37" s="381"/>
      <c r="BT37" s="381"/>
      <c r="BU37" s="381"/>
      <c r="BV37" s="381"/>
      <c r="BW37" s="381"/>
      <c r="BX37" s="381"/>
      <c r="BY37" s="381"/>
      <c r="BZ37" s="381"/>
      <c r="CA37" s="381"/>
      <c r="CB37" s="381"/>
      <c r="CC37" s="381"/>
      <c r="CD37" s="381"/>
      <c r="CE37" s="381"/>
      <c r="CF37" s="381"/>
      <c r="CG37" s="381"/>
      <c r="CH37" s="381"/>
      <c r="CI37" s="381"/>
      <c r="CJ37" s="381"/>
      <c r="CK37" s="381"/>
      <c r="CL37" s="381"/>
      <c r="CM37" s="381"/>
      <c r="CN37" s="381"/>
      <c r="CO37" s="381"/>
      <c r="CP37" s="381"/>
      <c r="CQ37" s="381"/>
      <c r="CR37" s="381"/>
      <c r="CS37" s="381"/>
      <c r="CT37" s="381"/>
      <c r="CU37" s="381"/>
      <c r="CV37" s="381"/>
      <c r="CW37" s="381"/>
      <c r="CX37" s="381"/>
      <c r="CY37" s="381"/>
      <c r="CZ37" s="381"/>
      <c r="DA37" s="381"/>
      <c r="DB37" s="381"/>
      <c r="DC37" s="381"/>
      <c r="DD37" s="381"/>
      <c r="DE37" s="381"/>
      <c r="DF37" s="381"/>
      <c r="DG37" s="381"/>
      <c r="DH37" s="381"/>
      <c r="DI37" s="381"/>
      <c r="DJ37" s="381"/>
      <c r="DK37" s="381"/>
      <c r="DL37" s="381"/>
      <c r="DM37" s="381"/>
      <c r="DN37" s="381"/>
      <c r="DO37" s="381"/>
      <c r="DP37" s="381"/>
      <c r="DQ37" s="381"/>
      <c r="DR37" s="381"/>
      <c r="DS37" s="381"/>
      <c r="DT37" s="381"/>
      <c r="DU37" s="381"/>
      <c r="DV37" s="381"/>
      <c r="DW37" s="381"/>
      <c r="DX37" s="381"/>
      <c r="DY37" s="381"/>
      <c r="DZ37" s="381"/>
      <c r="EA37" s="381"/>
      <c r="EB37" s="381"/>
      <c r="EC37" s="381"/>
      <c r="ED37" s="381"/>
      <c r="EE37" s="381"/>
      <c r="EF37" s="381"/>
      <c r="EG37" s="381"/>
      <c r="EH37" s="381"/>
      <c r="EI37" s="381"/>
      <c r="EJ37" s="381"/>
      <c r="EK37" s="381"/>
      <c r="EL37" s="381"/>
      <c r="EM37" s="381"/>
      <c r="EN37" s="381"/>
      <c r="EO37" s="381"/>
      <c r="EP37" s="381"/>
      <c r="EQ37" s="381"/>
      <c r="ER37" s="381"/>
      <c r="ES37" s="381"/>
      <c r="ET37" s="381"/>
      <c r="EU37" s="381"/>
      <c r="EV37" s="381"/>
      <c r="EW37" s="381"/>
      <c r="EX37" s="381"/>
      <c r="EY37" s="381"/>
      <c r="EZ37" s="381"/>
      <c r="FA37" s="381"/>
      <c r="FB37" s="381"/>
      <c r="FC37" s="381"/>
      <c r="FD37" s="381"/>
      <c r="FE37" s="381"/>
      <c r="FF37" s="381"/>
      <c r="FG37" s="381"/>
      <c r="FH37" s="381"/>
      <c r="FI37" s="381"/>
      <c r="FJ37" s="381"/>
      <c r="FK37" s="381"/>
      <c r="FL37" s="381"/>
      <c r="FM37" s="381"/>
      <c r="FN37" s="381"/>
      <c r="FO37" s="381"/>
      <c r="FP37" s="381"/>
      <c r="FQ37" s="381"/>
      <c r="FR37" s="381"/>
      <c r="FS37" s="381"/>
      <c r="FT37" s="381"/>
      <c r="FU37" s="381"/>
      <c r="FV37" s="381"/>
      <c r="FW37" s="381"/>
      <c r="FX37" s="381"/>
      <c r="FY37" s="381"/>
      <c r="FZ37" s="381"/>
      <c r="GA37" s="381"/>
      <c r="GB37" s="381"/>
      <c r="GC37" s="381"/>
      <c r="GD37" s="381"/>
      <c r="GE37" s="381"/>
      <c r="GF37" s="381"/>
      <c r="GG37" s="381"/>
      <c r="GH37" s="381"/>
      <c r="GI37" s="381"/>
      <c r="GJ37" s="381"/>
      <c r="GK37" s="381"/>
      <c r="GL37" s="381"/>
      <c r="GM37" s="381"/>
      <c r="GN37" s="381"/>
      <c r="GO37" s="381"/>
      <c r="GP37" s="381"/>
      <c r="GQ37" s="381"/>
      <c r="GR37" s="381"/>
      <c r="GS37" s="381"/>
      <c r="GT37" s="381"/>
      <c r="GU37" s="381"/>
      <c r="GV37" s="381"/>
      <c r="GW37" s="381"/>
      <c r="GX37" s="381"/>
      <c r="GY37" s="381"/>
      <c r="GZ37" s="381"/>
      <c r="HA37" s="381"/>
      <c r="HB37" s="381"/>
      <c r="HC37" s="381"/>
      <c r="HD37" s="381"/>
      <c r="HE37" s="381"/>
      <c r="HF37" s="381"/>
      <c r="HG37" s="381"/>
      <c r="HH37" s="381"/>
      <c r="HI37" s="381"/>
      <c r="HJ37" s="381"/>
      <c r="HK37" s="381"/>
      <c r="HL37" s="381"/>
      <c r="HM37" s="381"/>
      <c r="HN37" s="381"/>
      <c r="HO37" s="381"/>
      <c r="HP37" s="381"/>
      <c r="HQ37" s="381"/>
      <c r="HR37" s="381"/>
      <c r="HS37" s="381"/>
      <c r="HT37" s="381"/>
      <c r="HU37" s="381"/>
      <c r="HV37" s="381"/>
      <c r="HW37" s="381"/>
      <c r="HX37" s="381"/>
      <c r="HY37" s="381"/>
      <c r="HZ37" s="381"/>
      <c r="IA37" s="381"/>
      <c r="IB37" s="381"/>
      <c r="IC37" s="381"/>
      <c r="ID37" s="381"/>
      <c r="IE37" s="381"/>
      <c r="IF37" s="381"/>
      <c r="IG37" s="381"/>
      <c r="IH37" s="381"/>
      <c r="II37" s="381"/>
      <c r="IJ37" s="381"/>
      <c r="IK37" s="381"/>
      <c r="IL37" s="381"/>
      <c r="IM37" s="381"/>
      <c r="IN37" s="381"/>
      <c r="IO37" s="381"/>
      <c r="IP37" s="381"/>
      <c r="IQ37" s="381"/>
      <c r="IR37" s="381"/>
      <c r="IS37" s="381"/>
      <c r="IT37" s="381"/>
      <c r="IU37" s="381"/>
      <c r="IV37" s="381"/>
      <c r="IW37" s="381"/>
      <c r="IX37" s="381"/>
      <c r="IY37" s="381"/>
      <c r="IZ37" s="381"/>
      <c r="JA37" s="381"/>
      <c r="JB37" s="381"/>
      <c r="JC37" s="381"/>
      <c r="JD37" s="381"/>
      <c r="JE37" s="381"/>
      <c r="JF37" s="381"/>
      <c r="JG37" s="381"/>
      <c r="JH37" s="381"/>
      <c r="JI37" s="381"/>
      <c r="JJ37" s="381"/>
      <c r="JK37" s="381"/>
      <c r="JL37" s="381"/>
      <c r="JM37" s="381"/>
      <c r="JN37" s="381"/>
      <c r="JO37" s="381"/>
      <c r="JP37" s="381"/>
      <c r="JQ37" s="381"/>
      <c r="JR37" s="381"/>
      <c r="JS37" s="381"/>
      <c r="JT37" s="381"/>
      <c r="JU37" s="381"/>
      <c r="JV37" s="381"/>
      <c r="JW37" s="381"/>
      <c r="JX37" s="381"/>
      <c r="JY37" s="381"/>
      <c r="JZ37" s="381"/>
      <c r="KA37" s="381"/>
      <c r="KB37" s="381"/>
      <c r="KC37" s="381"/>
      <c r="KD37" s="381"/>
      <c r="KE37" s="381"/>
      <c r="KF37" s="381"/>
      <c r="KG37" s="381"/>
      <c r="KH37" s="381"/>
      <c r="KI37" s="381"/>
      <c r="KJ37" s="381"/>
      <c r="KK37" s="381"/>
      <c r="KL37" s="381"/>
      <c r="KM37" s="381"/>
      <c r="KN37" s="381"/>
      <c r="KO37" s="381"/>
      <c r="KP37" s="381"/>
      <c r="KQ37" s="381"/>
      <c r="KR37" s="381"/>
      <c r="KS37" s="381"/>
      <c r="KT37" s="381"/>
      <c r="KU37" s="381"/>
      <c r="KV37" s="381"/>
      <c r="KW37" s="381"/>
      <c r="KX37" s="381"/>
      <c r="KY37" s="381"/>
      <c r="KZ37" s="381"/>
      <c r="LA37" s="381"/>
      <c r="LB37" s="381"/>
      <c r="LC37" s="381"/>
      <c r="LD37" s="381"/>
      <c r="LE37" s="381"/>
      <c r="LF37" s="381"/>
      <c r="LG37" s="381"/>
      <c r="LH37" s="381"/>
      <c r="LI37" s="381"/>
      <c r="LJ37" s="381"/>
      <c r="LK37" s="381"/>
      <c r="LL37" s="381"/>
      <c r="LM37" s="381"/>
      <c r="LN37" s="381"/>
      <c r="LO37" s="381"/>
      <c r="LP37" s="381"/>
      <c r="LQ37" s="381"/>
      <c r="LR37" s="381"/>
      <c r="LS37" s="381"/>
      <c r="LT37" s="381"/>
      <c r="LU37" s="381"/>
      <c r="LV37" s="381"/>
      <c r="LW37" s="381"/>
      <c r="LX37" s="381"/>
      <c r="LY37" s="381"/>
      <c r="LZ37" s="381"/>
      <c r="MA37" s="381"/>
      <c r="MB37" s="381"/>
      <c r="MC37" s="381"/>
      <c r="MD37" s="381"/>
      <c r="ME37" s="381"/>
      <c r="MF37" s="381"/>
      <c r="MG37" s="381"/>
      <c r="MH37" s="381"/>
      <c r="MI37" s="381"/>
      <c r="MJ37" s="381"/>
      <c r="MK37" s="381"/>
      <c r="ML37" s="381"/>
      <c r="MM37" s="381"/>
      <c r="MN37" s="381"/>
      <c r="MO37" s="381"/>
      <c r="MP37" s="381"/>
      <c r="MQ37" s="381"/>
      <c r="MR37" s="381"/>
      <c r="MS37" s="381"/>
      <c r="MT37" s="381"/>
      <c r="MU37" s="381"/>
      <c r="MV37" s="381"/>
      <c r="MW37" s="381"/>
      <c r="MX37" s="381"/>
      <c r="MY37" s="381"/>
      <c r="MZ37" s="381"/>
      <c r="NA37" s="381"/>
      <c r="NB37" s="381"/>
      <c r="NC37" s="381"/>
      <c r="ND37" s="381"/>
      <c r="NE37" s="381"/>
      <c r="NF37" s="381"/>
      <c r="NG37" s="381"/>
      <c r="NH37" s="381"/>
      <c r="NI37" s="381"/>
      <c r="NJ37" s="381"/>
      <c r="NK37" s="381"/>
      <c r="NL37" s="381"/>
      <c r="NM37" s="381"/>
      <c r="NN37" s="381"/>
      <c r="NO37" s="381"/>
      <c r="NP37" s="381"/>
      <c r="NQ37" s="381"/>
      <c r="NR37" s="381"/>
      <c r="NS37" s="381"/>
      <c r="NT37" s="381"/>
      <c r="NU37" s="381"/>
      <c r="NV37" s="381"/>
      <c r="NW37" s="381"/>
      <c r="NX37" s="381"/>
      <c r="NY37" s="381"/>
      <c r="NZ37" s="381"/>
      <c r="OA37" s="381"/>
      <c r="OB37" s="381"/>
      <c r="OC37" s="381"/>
      <c r="OD37" s="381"/>
      <c r="OE37" s="381"/>
      <c r="OF37" s="381"/>
      <c r="OG37" s="381"/>
      <c r="OH37" s="381"/>
      <c r="OI37" s="381"/>
      <c r="OJ37" s="381"/>
      <c r="OK37" s="381"/>
      <c r="OL37" s="381"/>
      <c r="OM37" s="381"/>
      <c r="ON37" s="381"/>
      <c r="OO37" s="381"/>
      <c r="OP37" s="381"/>
      <c r="OQ37" s="381"/>
      <c r="OR37" s="381"/>
      <c r="OS37" s="381"/>
      <c r="OT37" s="381"/>
      <c r="OU37" s="381"/>
      <c r="OV37" s="381"/>
      <c r="OW37" s="381"/>
      <c r="OX37" s="381"/>
      <c r="OY37" s="381"/>
      <c r="OZ37" s="381"/>
      <c r="PA37" s="381"/>
      <c r="PB37" s="381"/>
      <c r="PC37" s="381"/>
      <c r="PD37" s="381"/>
      <c r="PE37" s="381"/>
      <c r="PF37" s="381"/>
      <c r="PG37" s="381"/>
      <c r="PH37" s="381"/>
      <c r="PI37" s="381"/>
      <c r="PJ37" s="381"/>
      <c r="PK37" s="381"/>
      <c r="PL37" s="381"/>
      <c r="PM37" s="381"/>
      <c r="PN37" s="381"/>
      <c r="PO37" s="381"/>
      <c r="PP37" s="381"/>
      <c r="PQ37" s="381"/>
      <c r="PR37" s="381"/>
      <c r="PS37" s="381"/>
      <c r="PT37" s="381"/>
      <c r="PU37" s="381"/>
      <c r="PV37" s="381"/>
      <c r="PW37" s="381"/>
      <c r="PX37" s="381"/>
      <c r="PY37" s="381"/>
      <c r="PZ37" s="381"/>
      <c r="QA37" s="381"/>
      <c r="QB37" s="381"/>
      <c r="QC37" s="381"/>
      <c r="QD37" s="381"/>
      <c r="QE37" s="381"/>
      <c r="QF37" s="381"/>
      <c r="QG37" s="381"/>
      <c r="QH37" s="381"/>
      <c r="QI37" s="381"/>
      <c r="QJ37" s="381"/>
      <c r="QK37" s="381"/>
      <c r="QL37" s="381"/>
      <c r="QM37" s="381"/>
      <c r="QN37" s="381"/>
      <c r="QO37" s="381"/>
      <c r="QP37" s="381"/>
      <c r="QQ37" s="381"/>
      <c r="QR37" s="381"/>
      <c r="QS37" s="381"/>
      <c r="QT37" s="381"/>
      <c r="QU37" s="381"/>
      <c r="QV37" s="381"/>
      <c r="QW37" s="381"/>
      <c r="QX37" s="381"/>
      <c r="QY37" s="381"/>
      <c r="QZ37" s="381"/>
      <c r="RA37" s="381"/>
      <c r="RB37" s="381"/>
      <c r="RC37" s="381"/>
      <c r="RD37" s="381"/>
      <c r="RE37" s="381"/>
      <c r="RF37" s="381"/>
      <c r="RG37" s="381"/>
      <c r="RH37" s="381"/>
      <c r="RI37" s="381"/>
      <c r="RJ37" s="381"/>
      <c r="RK37" s="381"/>
      <c r="RL37" s="381"/>
      <c r="RM37" s="381"/>
      <c r="RN37" s="381"/>
      <c r="RO37" s="381"/>
      <c r="RP37" s="381"/>
      <c r="RQ37" s="381"/>
      <c r="RR37" s="381"/>
      <c r="RS37" s="381"/>
      <c r="RT37" s="381"/>
      <c r="RU37" s="381"/>
      <c r="RV37" s="381"/>
      <c r="RW37" s="381"/>
      <c r="RX37" s="381"/>
      <c r="RY37" s="381"/>
      <c r="RZ37" s="381"/>
      <c r="SA37" s="381"/>
      <c r="SB37" s="381"/>
      <c r="SC37" s="381"/>
      <c r="SD37" s="381"/>
      <c r="SE37" s="381"/>
      <c r="SF37" s="381"/>
      <c r="SG37" s="381"/>
      <c r="SH37" s="381"/>
      <c r="SI37" s="381"/>
      <c r="SJ37" s="381"/>
      <c r="SK37" s="381"/>
      <c r="SL37" s="381"/>
      <c r="SM37" s="381"/>
      <c r="SN37" s="381"/>
      <c r="SO37" s="381"/>
      <c r="SP37" s="381"/>
      <c r="SQ37" s="381"/>
      <c r="SR37" s="381"/>
      <c r="SS37" s="381"/>
      <c r="ST37" s="381"/>
      <c r="SU37" s="381"/>
      <c r="SV37" s="381"/>
      <c r="SW37" s="381"/>
      <c r="SX37" s="381"/>
      <c r="SY37" s="381"/>
      <c r="SZ37" s="381"/>
      <c r="TA37" s="381"/>
      <c r="TB37" s="381"/>
      <c r="TC37" s="381"/>
      <c r="TD37" s="381"/>
      <c r="TE37" s="381"/>
      <c r="TF37" s="381"/>
      <c r="TG37" s="381"/>
      <c r="TH37" s="381"/>
      <c r="TI37" s="381"/>
      <c r="TJ37" s="381"/>
      <c r="TK37" s="381"/>
      <c r="TL37" s="381"/>
      <c r="TM37" s="381"/>
      <c r="TN37" s="381"/>
      <c r="TO37" s="381"/>
      <c r="TP37" s="381"/>
      <c r="TQ37" s="381"/>
      <c r="TR37" s="381"/>
      <c r="TS37" s="381"/>
      <c r="TT37" s="381"/>
      <c r="TU37" s="381"/>
      <c r="TV37" s="381"/>
      <c r="TW37" s="381"/>
      <c r="TX37" s="381"/>
      <c r="TY37" s="381"/>
      <c r="TZ37" s="381"/>
      <c r="UA37" s="381"/>
      <c r="UB37" s="381"/>
      <c r="UC37" s="381"/>
      <c r="UD37" s="381"/>
      <c r="UE37" s="381"/>
      <c r="UF37" s="381"/>
      <c r="UG37" s="381"/>
      <c r="UH37" s="381"/>
      <c r="UI37" s="381"/>
      <c r="UJ37" s="381"/>
      <c r="UK37" s="381"/>
      <c r="UL37" s="381"/>
      <c r="UM37" s="381"/>
      <c r="UN37" s="381"/>
      <c r="UO37" s="381"/>
      <c r="UP37" s="381"/>
      <c r="UQ37" s="381"/>
      <c r="UR37" s="381"/>
      <c r="US37" s="381"/>
      <c r="UT37" s="381"/>
      <c r="UU37" s="381"/>
      <c r="UV37" s="381"/>
      <c r="UW37" s="381"/>
      <c r="UX37" s="381"/>
      <c r="UY37" s="381"/>
      <c r="UZ37" s="381"/>
      <c r="VA37" s="381"/>
      <c r="VB37" s="381"/>
      <c r="VC37" s="381"/>
      <c r="VD37" s="381"/>
      <c r="VE37" s="381"/>
      <c r="VF37" s="381"/>
      <c r="VG37" s="381"/>
      <c r="VH37" s="381"/>
      <c r="VI37" s="381"/>
      <c r="VJ37" s="381"/>
      <c r="VK37" s="381"/>
      <c r="VL37" s="381"/>
      <c r="VM37" s="381"/>
      <c r="VN37" s="381"/>
      <c r="VO37" s="381"/>
      <c r="VP37" s="381"/>
      <c r="VQ37" s="381"/>
      <c r="VR37" s="381"/>
      <c r="VS37" s="381"/>
      <c r="VT37" s="381"/>
      <c r="VU37" s="381"/>
      <c r="VV37" s="381"/>
      <c r="VW37" s="381"/>
      <c r="VX37" s="381"/>
      <c r="VY37" s="381"/>
      <c r="VZ37" s="381"/>
      <c r="WA37" s="381"/>
      <c r="WB37" s="381"/>
      <c r="WC37" s="381"/>
      <c r="WD37" s="381"/>
      <c r="WE37" s="381"/>
      <c r="WF37" s="381"/>
      <c r="WG37" s="381"/>
      <c r="WH37" s="381"/>
      <c r="WI37" s="381"/>
      <c r="WJ37" s="381"/>
      <c r="WK37" s="381"/>
      <c r="WL37" s="381"/>
      <c r="WM37" s="381"/>
      <c r="WN37" s="381"/>
      <c r="WO37" s="381"/>
      <c r="WP37" s="381"/>
      <c r="WQ37" s="381"/>
      <c r="WR37" s="381"/>
      <c r="WS37" s="381"/>
      <c r="WT37" s="381"/>
      <c r="WU37" s="381"/>
      <c r="WV37" s="381"/>
      <c r="WW37" s="381"/>
      <c r="WX37" s="381"/>
      <c r="WY37" s="381"/>
      <c r="WZ37" s="381"/>
      <c r="XA37" s="381"/>
      <c r="XB37" s="381"/>
      <c r="XC37" s="381"/>
      <c r="XD37" s="381"/>
      <c r="XE37" s="381"/>
      <c r="XF37" s="381"/>
      <c r="XG37" s="381"/>
      <c r="XH37" s="381"/>
      <c r="XI37" s="381"/>
      <c r="XJ37" s="381"/>
      <c r="XK37" s="381"/>
      <c r="XL37" s="381"/>
      <c r="XM37" s="381"/>
      <c r="XN37" s="381"/>
      <c r="XO37" s="381"/>
      <c r="XP37" s="381"/>
      <c r="XQ37" s="381"/>
      <c r="XR37" s="381"/>
      <c r="XS37" s="381"/>
      <c r="XT37" s="381"/>
      <c r="XU37" s="381"/>
      <c r="XV37" s="381"/>
      <c r="XW37" s="381"/>
      <c r="XX37" s="381"/>
      <c r="XY37" s="381"/>
      <c r="XZ37" s="381"/>
      <c r="YA37" s="381"/>
      <c r="YB37" s="381"/>
      <c r="YC37" s="381"/>
      <c r="YD37" s="381"/>
      <c r="YE37" s="381"/>
      <c r="YF37" s="381"/>
      <c r="YG37" s="381"/>
      <c r="YH37" s="381"/>
      <c r="YI37" s="381"/>
      <c r="YJ37" s="381"/>
      <c r="YK37" s="381"/>
      <c r="YL37" s="381"/>
      <c r="YM37" s="381"/>
      <c r="YN37" s="381"/>
      <c r="YO37" s="381"/>
      <c r="YP37" s="381"/>
      <c r="YQ37" s="381"/>
      <c r="YR37" s="381"/>
      <c r="YS37" s="381"/>
      <c r="YT37" s="381"/>
      <c r="YU37" s="381"/>
      <c r="YV37" s="381"/>
      <c r="YW37" s="381"/>
      <c r="YX37" s="381"/>
      <c r="YY37" s="381"/>
      <c r="YZ37" s="381"/>
      <c r="ZA37" s="381"/>
      <c r="ZB37" s="381"/>
      <c r="ZC37" s="381"/>
      <c r="ZD37" s="381"/>
      <c r="ZE37" s="381"/>
      <c r="ZF37" s="381"/>
      <c r="ZG37" s="381"/>
      <c r="ZH37" s="381"/>
      <c r="ZI37" s="381"/>
      <c r="ZJ37" s="381"/>
      <c r="ZK37" s="381"/>
      <c r="ZL37" s="381"/>
      <c r="ZM37" s="381"/>
      <c r="ZN37" s="381"/>
      <c r="ZO37" s="381"/>
      <c r="ZP37" s="381"/>
      <c r="ZQ37" s="381"/>
      <c r="ZR37" s="381"/>
      <c r="ZS37" s="381"/>
      <c r="ZT37" s="381"/>
      <c r="ZU37" s="381"/>
      <c r="ZV37" s="381"/>
      <c r="ZW37" s="381"/>
      <c r="ZX37" s="381"/>
      <c r="ZY37" s="381"/>
      <c r="ZZ37" s="381"/>
      <c r="AAA37" s="381"/>
      <c r="AAB37" s="381"/>
      <c r="AAC37" s="381"/>
      <c r="AAD37" s="381"/>
      <c r="AAE37" s="381"/>
      <c r="AAF37" s="381"/>
      <c r="AAG37" s="381"/>
      <c r="AAH37" s="381"/>
      <c r="AAI37" s="381"/>
      <c r="AAJ37" s="381"/>
      <c r="AAK37" s="381"/>
      <c r="AAL37" s="381"/>
      <c r="AAM37" s="381"/>
      <c r="AAN37" s="381"/>
      <c r="AAO37" s="381"/>
      <c r="AAP37" s="381"/>
      <c r="AAQ37" s="381"/>
      <c r="AAR37" s="381"/>
      <c r="AAS37" s="381"/>
      <c r="AAT37" s="381"/>
      <c r="AAU37" s="381"/>
      <c r="AAV37" s="381"/>
      <c r="AAW37" s="381"/>
      <c r="AAX37" s="381"/>
      <c r="AAY37" s="381"/>
      <c r="AAZ37" s="381"/>
      <c r="ABA37" s="381"/>
      <c r="ABB37" s="381"/>
      <c r="ABC37" s="381"/>
      <c r="ABD37" s="381"/>
      <c r="ABE37" s="381"/>
      <c r="ABF37" s="381"/>
      <c r="ABG37" s="381"/>
      <c r="ABH37" s="381"/>
      <c r="ABI37" s="381"/>
      <c r="ABJ37" s="381"/>
      <c r="ABK37" s="381"/>
      <c r="ABL37" s="381"/>
      <c r="ABM37" s="381"/>
      <c r="ABN37" s="381"/>
      <c r="ABO37" s="381"/>
      <c r="ABP37" s="381"/>
      <c r="ABQ37" s="381"/>
      <c r="ABR37" s="381"/>
      <c r="ABS37" s="381"/>
      <c r="ABT37" s="381"/>
      <c r="ABU37" s="381"/>
      <c r="ABV37" s="381"/>
      <c r="ABW37" s="381"/>
      <c r="ABX37" s="381"/>
      <c r="ABY37" s="381"/>
      <c r="ABZ37" s="381"/>
      <c r="ACA37" s="381"/>
      <c r="ACB37" s="381"/>
      <c r="ACC37" s="381"/>
      <c r="ACD37" s="381"/>
      <c r="ACE37" s="381"/>
      <c r="ACF37" s="381"/>
      <c r="ACG37" s="381"/>
      <c r="ACH37" s="381"/>
      <c r="ACI37" s="381"/>
      <c r="ACJ37" s="381"/>
      <c r="ACK37" s="381"/>
      <c r="ACL37" s="381"/>
      <c r="ACM37" s="381"/>
      <c r="ACN37" s="381"/>
      <c r="ACO37" s="381"/>
      <c r="ACP37" s="381"/>
      <c r="ACQ37" s="381"/>
      <c r="ACR37" s="381"/>
      <c r="ACS37" s="381"/>
      <c r="ACT37" s="381"/>
      <c r="ACU37" s="381"/>
      <c r="ACV37" s="381"/>
      <c r="ACW37" s="381"/>
      <c r="ACX37" s="381"/>
      <c r="ACY37" s="381"/>
      <c r="ACZ37" s="381"/>
      <c r="ADA37" s="381"/>
      <c r="ADB37" s="381"/>
      <c r="ADC37" s="381"/>
      <c r="ADD37" s="381"/>
      <c r="ADE37" s="381"/>
      <c r="ADF37" s="381"/>
      <c r="ADG37" s="381"/>
      <c r="ADH37" s="381"/>
      <c r="ADI37" s="381"/>
      <c r="ADJ37" s="381"/>
      <c r="ADK37" s="381"/>
      <c r="ADL37" s="381"/>
      <c r="ADM37" s="381"/>
      <c r="ADN37" s="381"/>
      <c r="ADO37" s="381"/>
      <c r="ADP37" s="381"/>
      <c r="ADQ37" s="381"/>
      <c r="ADR37" s="381"/>
      <c r="ADS37" s="381"/>
      <c r="ADT37" s="381"/>
      <c r="ADU37" s="381"/>
      <c r="ADV37" s="381"/>
      <c r="ADW37" s="381"/>
      <c r="ADX37" s="381"/>
      <c r="ADY37" s="381"/>
      <c r="ADZ37" s="381"/>
      <c r="AEA37" s="381"/>
      <c r="AEB37" s="381"/>
      <c r="AEC37" s="381"/>
      <c r="AED37" s="381"/>
      <c r="AEE37" s="381"/>
      <c r="AEF37" s="381"/>
      <c r="AEG37" s="381"/>
      <c r="AEH37" s="381"/>
      <c r="AEI37" s="381"/>
      <c r="AEJ37" s="381"/>
      <c r="AEK37" s="381"/>
      <c r="AEL37" s="381"/>
      <c r="AEM37" s="381"/>
      <c r="AEN37" s="381"/>
      <c r="AEO37" s="381"/>
      <c r="AEP37" s="381"/>
      <c r="AEQ37" s="381"/>
      <c r="AER37" s="381"/>
      <c r="AES37" s="381"/>
      <c r="AET37" s="381"/>
      <c r="AEU37" s="381"/>
      <c r="AEV37" s="381"/>
      <c r="AEW37" s="381"/>
      <c r="AEX37" s="381"/>
      <c r="AEY37" s="381"/>
      <c r="AEZ37" s="381"/>
      <c r="AFA37" s="381"/>
      <c r="AFB37" s="381"/>
      <c r="AFC37" s="381"/>
      <c r="AFD37" s="381"/>
      <c r="AFE37" s="381"/>
      <c r="AFF37" s="381"/>
      <c r="AFG37" s="381"/>
      <c r="AFH37" s="381"/>
      <c r="AFI37" s="381"/>
      <c r="AFJ37" s="381"/>
      <c r="AFK37" s="381"/>
      <c r="AFL37" s="381"/>
      <c r="AFM37" s="381"/>
      <c r="AFN37" s="381"/>
      <c r="AFO37" s="381"/>
      <c r="AFP37" s="381"/>
      <c r="AFQ37" s="381"/>
      <c r="AFR37" s="381"/>
      <c r="AFS37" s="381"/>
      <c r="AFT37" s="381"/>
      <c r="AFU37" s="381"/>
      <c r="AFV37" s="381"/>
      <c r="AFW37" s="381"/>
      <c r="AFX37" s="381"/>
      <c r="AFY37" s="381"/>
      <c r="AFZ37" s="381"/>
      <c r="AGA37" s="381"/>
      <c r="AGB37" s="381"/>
      <c r="AGC37" s="381"/>
      <c r="AGD37" s="381"/>
      <c r="AGE37" s="381"/>
      <c r="AGF37" s="381"/>
      <c r="AGG37" s="381"/>
      <c r="AGH37" s="381"/>
      <c r="AGI37" s="381"/>
      <c r="AGJ37" s="381"/>
      <c r="AGK37" s="381"/>
      <c r="AGL37" s="381"/>
      <c r="AGM37" s="381"/>
      <c r="AGN37" s="381"/>
      <c r="AGO37" s="381"/>
      <c r="AGP37" s="381"/>
      <c r="AGQ37" s="381"/>
      <c r="AGR37" s="381"/>
      <c r="AGS37" s="381"/>
      <c r="AGT37" s="381"/>
      <c r="AGU37" s="381"/>
      <c r="AGV37" s="381"/>
      <c r="AGW37" s="381"/>
      <c r="AGX37" s="381"/>
      <c r="AGY37" s="381"/>
      <c r="AGZ37" s="381"/>
      <c r="AHA37" s="381"/>
      <c r="AHB37" s="381"/>
      <c r="AHC37" s="381"/>
      <c r="AHD37" s="381"/>
      <c r="AHE37" s="381"/>
      <c r="AHF37" s="381"/>
      <c r="AHG37" s="381"/>
      <c r="AHH37" s="381"/>
      <c r="AHI37" s="381"/>
      <c r="AHJ37" s="381"/>
      <c r="AHK37" s="381"/>
      <c r="AHL37" s="381"/>
      <c r="AHM37" s="381"/>
      <c r="AHN37" s="381"/>
      <c r="AHO37" s="381"/>
      <c r="AHP37" s="381"/>
      <c r="AHQ37" s="381"/>
      <c r="AHR37" s="381"/>
      <c r="AHS37" s="381"/>
      <c r="AHT37" s="381"/>
      <c r="AHU37" s="381"/>
      <c r="AHV37" s="381"/>
      <c r="AHW37" s="381"/>
      <c r="AHX37" s="381"/>
      <c r="AHY37" s="381"/>
      <c r="AHZ37" s="381"/>
      <c r="AIA37" s="381"/>
      <c r="AIB37" s="381"/>
      <c r="AIC37" s="381"/>
      <c r="AID37" s="381"/>
      <c r="AIE37" s="381"/>
      <c r="AIF37" s="381"/>
      <c r="AIG37" s="381"/>
      <c r="AIH37" s="381"/>
      <c r="AII37" s="381"/>
      <c r="AIJ37" s="381"/>
      <c r="AIK37" s="381"/>
      <c r="AIL37" s="381"/>
      <c r="AIM37" s="381"/>
      <c r="AIN37" s="381"/>
      <c r="AIO37" s="381"/>
      <c r="AIP37" s="381"/>
      <c r="AIQ37" s="381"/>
      <c r="AIR37" s="381"/>
      <c r="AIS37" s="381"/>
      <c r="AIT37" s="381"/>
      <c r="AIU37" s="381"/>
      <c r="AIV37" s="381"/>
      <c r="AIW37" s="381"/>
      <c r="AIX37" s="381"/>
      <c r="AIY37" s="381"/>
      <c r="AIZ37" s="381"/>
      <c r="AJA37" s="381"/>
      <c r="AJB37" s="381"/>
      <c r="AJC37" s="381"/>
      <c r="AJD37" s="381"/>
      <c r="AJE37" s="381"/>
      <c r="AJF37" s="381"/>
      <c r="AJG37" s="381"/>
      <c r="AJH37" s="381"/>
      <c r="AJI37" s="381"/>
      <c r="AJJ37" s="381"/>
      <c r="AJK37" s="381"/>
      <c r="AJL37" s="381"/>
      <c r="AJM37" s="381"/>
      <c r="AJN37" s="381"/>
      <c r="AJO37" s="381"/>
      <c r="AJP37" s="381"/>
      <c r="AJQ37" s="381"/>
      <c r="AJR37" s="381"/>
      <c r="AJS37" s="381"/>
      <c r="AJT37" s="381"/>
      <c r="AJU37" s="381"/>
      <c r="AJV37" s="381"/>
      <c r="AJW37" s="381"/>
      <c r="AJX37" s="381"/>
      <c r="AJY37" s="381"/>
      <c r="AJZ37" s="381"/>
      <c r="AKA37" s="381"/>
      <c r="AKB37" s="381"/>
      <c r="AKC37" s="381"/>
      <c r="AKD37" s="381"/>
      <c r="AKE37" s="381"/>
      <c r="AKF37" s="381"/>
      <c r="AKG37" s="381"/>
      <c r="AKH37" s="381"/>
      <c r="AKI37" s="381"/>
      <c r="AKJ37" s="381"/>
      <c r="AKK37" s="381"/>
      <c r="AKL37" s="381"/>
      <c r="AKM37" s="381"/>
      <c r="AKN37" s="381"/>
      <c r="AKO37" s="381"/>
      <c r="AKP37" s="381"/>
      <c r="AKQ37" s="381"/>
      <c r="AKR37" s="381"/>
      <c r="AKS37" s="381"/>
      <c r="AKT37" s="381"/>
      <c r="AKU37" s="381"/>
      <c r="AKV37" s="381"/>
      <c r="AKW37" s="381"/>
      <c r="AKX37" s="381"/>
      <c r="AKY37" s="381"/>
      <c r="AKZ37" s="381"/>
      <c r="ALA37" s="381"/>
      <c r="ALB37" s="381"/>
      <c r="ALC37" s="381"/>
    </row>
    <row r="38" spans="1:991" s="359" customFormat="1" ht="131.25" customHeight="1" thickBot="1" x14ac:dyDescent="0.25">
      <c r="B38" s="360"/>
      <c r="C38" s="417" t="e">
        <f>J38-#REF!</f>
        <v>#REF!</v>
      </c>
      <c r="D38" s="362" t="s">
        <v>497</v>
      </c>
      <c r="E38" s="401"/>
      <c r="F38" s="402"/>
      <c r="G38" s="403"/>
      <c r="H38" s="404" t="s">
        <v>112</v>
      </c>
      <c r="I38" s="386" t="s">
        <v>171</v>
      </c>
      <c r="J38" s="405">
        <v>2100000</v>
      </c>
      <c r="K38" s="406">
        <v>227446</v>
      </c>
      <c r="L38" s="407">
        <v>800000</v>
      </c>
      <c r="M38" s="408">
        <v>700000</v>
      </c>
      <c r="N38" s="408">
        <v>372554</v>
      </c>
      <c r="O38" s="418">
        <v>0</v>
      </c>
      <c r="P38" s="407"/>
      <c r="Q38" s="408"/>
      <c r="R38" s="408"/>
      <c r="S38" s="409"/>
      <c r="T38" s="410"/>
      <c r="U38" s="407"/>
      <c r="V38" s="408"/>
      <c r="W38" s="408"/>
      <c r="X38" s="408"/>
      <c r="Y38" s="408"/>
      <c r="Z38" s="390"/>
      <c r="AA38" s="408"/>
      <c r="AB38" s="409"/>
      <c r="AC38" s="409"/>
      <c r="AD38" s="409"/>
      <c r="AE38" s="409"/>
      <c r="AF38" s="408"/>
      <c r="AG38" s="409"/>
      <c r="AH38" s="411"/>
      <c r="AI38" s="410"/>
      <c r="AJ38" s="407"/>
      <c r="AK38" s="408"/>
      <c r="AL38" s="412"/>
      <c r="AM38" s="376">
        <v>227446</v>
      </c>
      <c r="AN38" s="412">
        <v>800000</v>
      </c>
      <c r="AO38" s="376">
        <v>0</v>
      </c>
      <c r="AP38" s="413"/>
      <c r="AQ38" s="408"/>
      <c r="AR38" s="408"/>
      <c r="AS38" s="390">
        <v>1072554</v>
      </c>
      <c r="AT38" s="409"/>
      <c r="AU38" s="409"/>
      <c r="AV38" s="408"/>
      <c r="AW38" s="409"/>
      <c r="AX38" s="410"/>
      <c r="AY38" s="407"/>
      <c r="AZ38" s="414"/>
      <c r="BA38" s="415"/>
      <c r="BB38" s="416"/>
    </row>
    <row r="39" spans="1:991" s="400" customFormat="1" ht="136.5" customHeight="1" thickBot="1" x14ac:dyDescent="0.25">
      <c r="B39" s="360"/>
      <c r="C39" s="417" t="e">
        <f>J39-#REF!</f>
        <v>#REF!</v>
      </c>
      <c r="D39" s="362" t="s">
        <v>498</v>
      </c>
      <c r="E39" s="401"/>
      <c r="F39" s="402"/>
      <c r="G39" s="403"/>
      <c r="H39" s="404" t="s">
        <v>160</v>
      </c>
      <c r="I39" s="386" t="s">
        <v>499</v>
      </c>
      <c r="J39" s="405">
        <v>2168100</v>
      </c>
      <c r="K39" s="406">
        <v>0</v>
      </c>
      <c r="L39" s="407">
        <v>0</v>
      </c>
      <c r="M39" s="408">
        <v>400000</v>
      </c>
      <c r="N39" s="408"/>
      <c r="O39" s="418">
        <f>J39-M39</f>
        <v>1768100</v>
      </c>
      <c r="P39" s="407"/>
      <c r="Q39" s="408"/>
      <c r="R39" s="408"/>
      <c r="S39" s="409"/>
      <c r="T39" s="410"/>
      <c r="U39" s="407"/>
      <c r="V39" s="408"/>
      <c r="W39" s="408"/>
      <c r="X39" s="408"/>
      <c r="Y39" s="408"/>
      <c r="Z39" s="390"/>
      <c r="AA39" s="408"/>
      <c r="AB39" s="409"/>
      <c r="AC39" s="409"/>
      <c r="AD39" s="409"/>
      <c r="AE39" s="409"/>
      <c r="AF39" s="408"/>
      <c r="AG39" s="409"/>
      <c r="AH39" s="411"/>
      <c r="AI39" s="410"/>
      <c r="AJ39" s="407"/>
      <c r="AK39" s="408"/>
      <c r="AL39" s="412"/>
      <c r="AM39" s="376">
        <v>0</v>
      </c>
      <c r="AN39" s="412">
        <v>400000</v>
      </c>
      <c r="AO39" s="376">
        <v>0</v>
      </c>
      <c r="AP39" s="413"/>
      <c r="AQ39" s="408">
        <v>400000</v>
      </c>
      <c r="AR39" s="408">
        <f>1768100-1768100</f>
        <v>0</v>
      </c>
      <c r="AS39" s="390">
        <v>0</v>
      </c>
      <c r="AT39" s="409"/>
      <c r="AU39" s="409"/>
      <c r="AV39" s="408"/>
      <c r="AW39" s="409"/>
      <c r="AX39" s="410"/>
      <c r="AY39" s="407"/>
      <c r="AZ39" s="414">
        <v>1768100</v>
      </c>
      <c r="BA39" s="415"/>
      <c r="BB39" s="416"/>
    </row>
    <row r="40" spans="1:991" s="400" customFormat="1" ht="145.5" customHeight="1" thickBot="1" x14ac:dyDescent="0.25">
      <c r="B40" s="360"/>
      <c r="C40" s="417" t="e">
        <f>J40-#REF!</f>
        <v>#REF!</v>
      </c>
      <c r="D40" s="362" t="s">
        <v>500</v>
      </c>
      <c r="E40" s="401"/>
      <c r="F40" s="402">
        <v>60601</v>
      </c>
      <c r="G40" s="403"/>
      <c r="H40" s="404" t="s">
        <v>112</v>
      </c>
      <c r="I40" s="386" t="s">
        <v>501</v>
      </c>
      <c r="J40" s="405">
        <v>3000000</v>
      </c>
      <c r="K40" s="406">
        <v>0</v>
      </c>
      <c r="L40" s="407">
        <v>500000</v>
      </c>
      <c r="M40" s="408">
        <v>50000</v>
      </c>
      <c r="N40" s="408"/>
      <c r="O40" s="418">
        <f>2250000+200000</f>
        <v>2450000</v>
      </c>
      <c r="P40" s="407"/>
      <c r="Q40" s="408"/>
      <c r="R40" s="408"/>
      <c r="S40" s="409"/>
      <c r="T40" s="410"/>
      <c r="U40" s="407"/>
      <c r="V40" s="408"/>
      <c r="W40" s="408"/>
      <c r="X40" s="408"/>
      <c r="Y40" s="408"/>
      <c r="Z40" s="390">
        <f>AB40</f>
        <v>0</v>
      </c>
      <c r="AA40" s="408"/>
      <c r="AB40" s="409">
        <f>750000-750000</f>
        <v>0</v>
      </c>
      <c r="AC40" s="409"/>
      <c r="AD40" s="409"/>
      <c r="AE40" s="409"/>
      <c r="AF40" s="408"/>
      <c r="AG40" s="409"/>
      <c r="AH40" s="411"/>
      <c r="AI40" s="410"/>
      <c r="AJ40" s="407"/>
      <c r="AK40" s="408"/>
      <c r="AL40" s="412"/>
      <c r="AM40" s="376">
        <v>0</v>
      </c>
      <c r="AN40" s="412">
        <v>500000</v>
      </c>
      <c r="AO40" s="376">
        <v>2500000</v>
      </c>
      <c r="AP40" s="413"/>
      <c r="AQ40" s="390">
        <v>750000</v>
      </c>
      <c r="AR40" s="390"/>
      <c r="AS40" s="390">
        <v>0</v>
      </c>
      <c r="AT40" s="409"/>
      <c r="AU40" s="409"/>
      <c r="AV40" s="408"/>
      <c r="AW40" s="409"/>
      <c r="AX40" s="410"/>
      <c r="AY40" s="407"/>
      <c r="AZ40" s="414"/>
      <c r="BA40" s="415"/>
      <c r="BB40" s="416" t="s">
        <v>444</v>
      </c>
    </row>
    <row r="41" spans="1:991" s="400" customFormat="1" ht="111" customHeight="1" thickBot="1" x14ac:dyDescent="0.25">
      <c r="B41" s="360"/>
      <c r="C41" s="417" t="e">
        <f>J41-#REF!</f>
        <v>#REF!</v>
      </c>
      <c r="D41" s="362" t="s">
        <v>502</v>
      </c>
      <c r="E41" s="401"/>
      <c r="F41" s="402"/>
      <c r="G41" s="403"/>
      <c r="H41" s="404" t="s">
        <v>160</v>
      </c>
      <c r="I41" s="386" t="s">
        <v>503</v>
      </c>
      <c r="J41" s="405">
        <v>5000000</v>
      </c>
      <c r="K41" s="406">
        <v>0</v>
      </c>
      <c r="L41" s="407">
        <v>150000</v>
      </c>
      <c r="M41" s="408">
        <v>350000</v>
      </c>
      <c r="N41" s="408">
        <v>0</v>
      </c>
      <c r="O41" s="418">
        <v>4500000</v>
      </c>
      <c r="P41" s="407"/>
      <c r="Q41" s="408"/>
      <c r="R41" s="408"/>
      <c r="S41" s="409"/>
      <c r="T41" s="410"/>
      <c r="U41" s="407"/>
      <c r="V41" s="408"/>
      <c r="W41" s="408"/>
      <c r="X41" s="408"/>
      <c r="Y41" s="408"/>
      <c r="Z41" s="390"/>
      <c r="AA41" s="408"/>
      <c r="AB41" s="409"/>
      <c r="AC41" s="409"/>
      <c r="AD41" s="409"/>
      <c r="AE41" s="409"/>
      <c r="AF41" s="408"/>
      <c r="AG41" s="409"/>
      <c r="AH41" s="411"/>
      <c r="AI41" s="410"/>
      <c r="AJ41" s="407"/>
      <c r="AK41" s="408"/>
      <c r="AL41" s="412"/>
      <c r="AM41" s="376">
        <v>0</v>
      </c>
      <c r="AN41" s="412">
        <v>150000</v>
      </c>
      <c r="AO41" s="376">
        <v>350000</v>
      </c>
      <c r="AP41" s="413"/>
      <c r="AQ41" s="408">
        <v>500000</v>
      </c>
      <c r="AR41" s="408">
        <f>4500000-4500000</f>
        <v>0</v>
      </c>
      <c r="AS41" s="390">
        <v>4500000</v>
      </c>
      <c r="AT41" s="409"/>
      <c r="AU41" s="409"/>
      <c r="AV41" s="408"/>
      <c r="AW41" s="409"/>
      <c r="AX41" s="410"/>
      <c r="AY41" s="407"/>
      <c r="AZ41" s="414"/>
      <c r="BA41" s="415"/>
      <c r="BB41" s="416"/>
    </row>
    <row r="42" spans="1:991" s="400" customFormat="1" ht="105.75" customHeight="1" thickBot="1" x14ac:dyDescent="0.25">
      <c r="B42" s="360"/>
      <c r="C42" s="417"/>
      <c r="D42" s="419" t="s">
        <v>504</v>
      </c>
      <c r="E42" s="401"/>
      <c r="F42" s="402"/>
      <c r="G42" s="403"/>
      <c r="H42" s="404"/>
      <c r="I42" s="386" t="s">
        <v>505</v>
      </c>
      <c r="J42" s="405">
        <v>800000</v>
      </c>
      <c r="K42" s="406">
        <v>0</v>
      </c>
      <c r="L42" s="407">
        <v>0</v>
      </c>
      <c r="M42" s="408">
        <v>0</v>
      </c>
      <c r="N42" s="408">
        <v>0</v>
      </c>
      <c r="O42" s="418">
        <v>800000</v>
      </c>
      <c r="P42" s="407"/>
      <c r="Q42" s="408"/>
      <c r="R42" s="408"/>
      <c r="S42" s="409"/>
      <c r="T42" s="410"/>
      <c r="U42" s="407"/>
      <c r="V42" s="408"/>
      <c r="W42" s="408"/>
      <c r="X42" s="408"/>
      <c r="Y42" s="408"/>
      <c r="Z42" s="390"/>
      <c r="AA42" s="408"/>
      <c r="AB42" s="409"/>
      <c r="AC42" s="409"/>
      <c r="AD42" s="409"/>
      <c r="AE42" s="409"/>
      <c r="AF42" s="408"/>
      <c r="AG42" s="409"/>
      <c r="AH42" s="411"/>
      <c r="AI42" s="410"/>
      <c r="AJ42" s="407"/>
      <c r="AK42" s="408"/>
      <c r="AL42" s="412"/>
      <c r="AM42" s="376">
        <v>0</v>
      </c>
      <c r="AN42" s="412"/>
      <c r="AO42" s="376">
        <v>0</v>
      </c>
      <c r="AP42" s="413"/>
      <c r="AQ42" s="408">
        <f>800000-800000</f>
        <v>0</v>
      </c>
      <c r="AR42" s="408"/>
      <c r="AS42" s="390">
        <v>0</v>
      </c>
      <c r="AT42" s="409"/>
      <c r="AU42" s="409"/>
      <c r="AV42" s="408"/>
      <c r="AW42" s="409"/>
      <c r="AX42" s="410"/>
      <c r="AY42" s="407"/>
      <c r="AZ42" s="414">
        <v>800000</v>
      </c>
      <c r="BA42" s="415"/>
      <c r="BB42" s="416"/>
    </row>
    <row r="43" spans="1:991" s="400" customFormat="1" ht="120" customHeight="1" thickBot="1" x14ac:dyDescent="0.25">
      <c r="B43" s="360"/>
      <c r="C43" s="417"/>
      <c r="D43" s="419" t="s">
        <v>506</v>
      </c>
      <c r="E43" s="401"/>
      <c r="F43" s="402"/>
      <c r="G43" s="403"/>
      <c r="H43" s="404"/>
      <c r="I43" s="386" t="s">
        <v>507</v>
      </c>
      <c r="J43" s="405">
        <v>500000</v>
      </c>
      <c r="K43" s="406">
        <v>0</v>
      </c>
      <c r="L43" s="407">
        <v>0</v>
      </c>
      <c r="M43" s="408">
        <v>0</v>
      </c>
      <c r="N43" s="408">
        <v>0</v>
      </c>
      <c r="O43" s="418">
        <v>500000</v>
      </c>
      <c r="P43" s="407"/>
      <c r="Q43" s="408"/>
      <c r="R43" s="408"/>
      <c r="S43" s="409"/>
      <c r="T43" s="410"/>
      <c r="U43" s="407"/>
      <c r="V43" s="408"/>
      <c r="W43" s="408"/>
      <c r="X43" s="408"/>
      <c r="Y43" s="408"/>
      <c r="Z43" s="390"/>
      <c r="AA43" s="408"/>
      <c r="AB43" s="409"/>
      <c r="AC43" s="409"/>
      <c r="AD43" s="409"/>
      <c r="AE43" s="409"/>
      <c r="AF43" s="408"/>
      <c r="AG43" s="409"/>
      <c r="AH43" s="411"/>
      <c r="AI43" s="410"/>
      <c r="AJ43" s="407"/>
      <c r="AK43" s="408"/>
      <c r="AL43" s="412"/>
      <c r="AM43" s="376">
        <v>0</v>
      </c>
      <c r="AN43" s="412"/>
      <c r="AO43" s="376">
        <v>0</v>
      </c>
      <c r="AP43" s="413"/>
      <c r="AQ43" s="408"/>
      <c r="AR43" s="408"/>
      <c r="AS43" s="390">
        <v>500000</v>
      </c>
      <c r="AT43" s="409"/>
      <c r="AU43" s="409"/>
      <c r="AV43" s="408"/>
      <c r="AW43" s="409"/>
      <c r="AX43" s="410"/>
      <c r="AY43" s="407"/>
      <c r="AZ43" s="407"/>
      <c r="BA43" s="407"/>
      <c r="BB43" s="407"/>
    </row>
    <row r="44" spans="1:991" s="400" customFormat="1" ht="106.5" customHeight="1" thickBot="1" x14ac:dyDescent="0.25">
      <c r="B44" s="360"/>
      <c r="C44" s="420"/>
      <c r="D44" s="419" t="s">
        <v>508</v>
      </c>
      <c r="E44" s="421"/>
      <c r="F44" s="421"/>
      <c r="G44" s="421"/>
      <c r="H44" s="422"/>
      <c r="I44" s="386" t="s">
        <v>509</v>
      </c>
      <c r="J44" s="405">
        <v>250000</v>
      </c>
      <c r="K44" s="406">
        <v>0</v>
      </c>
      <c r="L44" s="407">
        <v>150000</v>
      </c>
      <c r="M44" s="408">
        <v>100000</v>
      </c>
      <c r="N44" s="408">
        <v>0</v>
      </c>
      <c r="O44" s="412">
        <v>0</v>
      </c>
      <c r="P44" s="408"/>
      <c r="Q44" s="408"/>
      <c r="R44" s="408"/>
      <c r="S44" s="408"/>
      <c r="T44" s="408"/>
      <c r="U44" s="408"/>
      <c r="V44" s="408"/>
      <c r="W44" s="408"/>
      <c r="X44" s="408"/>
      <c r="Y44" s="408"/>
      <c r="Z44" s="408"/>
      <c r="AA44" s="408"/>
      <c r="AB44" s="408"/>
      <c r="AC44" s="408"/>
      <c r="AD44" s="408"/>
      <c r="AE44" s="408"/>
      <c r="AF44" s="408"/>
      <c r="AG44" s="408"/>
      <c r="AH44" s="408"/>
      <c r="AI44" s="408"/>
      <c r="AJ44" s="408"/>
      <c r="AK44" s="408"/>
      <c r="AL44" s="408"/>
      <c r="AM44" s="376">
        <v>0</v>
      </c>
      <c r="AN44" s="408">
        <v>150000</v>
      </c>
      <c r="AO44" s="376">
        <v>100000</v>
      </c>
      <c r="AP44" s="423"/>
      <c r="AQ44" s="423"/>
      <c r="AR44" s="423"/>
      <c r="AS44" s="390">
        <v>0</v>
      </c>
      <c r="AT44" s="424"/>
      <c r="AU44" s="424"/>
      <c r="AV44" s="390"/>
      <c r="AW44" s="424"/>
      <c r="AX44" s="424"/>
      <c r="AY44" s="407"/>
      <c r="AZ44" s="407"/>
      <c r="BA44" s="407"/>
      <c r="BB44" s="407"/>
    </row>
    <row r="45" spans="1:991" s="400" customFormat="1" ht="111.75" customHeight="1" thickBot="1" x14ac:dyDescent="0.25">
      <c r="B45" s="360"/>
      <c r="C45" s="420"/>
      <c r="D45" s="419" t="s">
        <v>510</v>
      </c>
      <c r="E45" s="421"/>
      <c r="F45" s="421"/>
      <c r="G45" s="421"/>
      <c r="H45" s="422"/>
      <c r="I45" s="386" t="s">
        <v>511</v>
      </c>
      <c r="J45" s="405">
        <v>280000</v>
      </c>
      <c r="K45" s="406">
        <v>0</v>
      </c>
      <c r="L45" s="407">
        <v>280000</v>
      </c>
      <c r="M45" s="408">
        <v>0</v>
      </c>
      <c r="N45" s="408">
        <v>0</v>
      </c>
      <c r="O45" s="412">
        <v>0</v>
      </c>
      <c r="P45" s="408"/>
      <c r="Q45" s="408"/>
      <c r="R45" s="408">
        <f>S45</f>
        <v>280000</v>
      </c>
      <c r="S45" s="408">
        <v>280000</v>
      </c>
      <c r="T45" s="408"/>
      <c r="U45" s="408"/>
      <c r="V45" s="408"/>
      <c r="W45" s="408"/>
      <c r="X45" s="408"/>
      <c r="Y45" s="408"/>
      <c r="Z45" s="408"/>
      <c r="AA45" s="408"/>
      <c r="AB45" s="408"/>
      <c r="AC45" s="408"/>
      <c r="AD45" s="408"/>
      <c r="AE45" s="408"/>
      <c r="AF45" s="408"/>
      <c r="AG45" s="408"/>
      <c r="AH45" s="408"/>
      <c r="AI45" s="408"/>
      <c r="AJ45" s="408"/>
      <c r="AK45" s="408"/>
      <c r="AL45" s="408"/>
      <c r="AM45" s="376">
        <v>0</v>
      </c>
      <c r="AN45" s="408">
        <v>0</v>
      </c>
      <c r="AO45" s="376">
        <v>0</v>
      </c>
      <c r="AP45" s="423"/>
      <c r="AQ45" s="423"/>
      <c r="AR45" s="423"/>
      <c r="AS45" s="390">
        <v>0</v>
      </c>
      <c r="AT45" s="424"/>
      <c r="AU45" s="424"/>
      <c r="AV45" s="390"/>
      <c r="AW45" s="424"/>
      <c r="AX45" s="424"/>
      <c r="AY45" s="407"/>
      <c r="AZ45" s="407"/>
      <c r="BA45" s="407"/>
      <c r="BB45" s="407"/>
    </row>
    <row r="46" spans="1:991" s="400" customFormat="1" ht="119.25" customHeight="1" thickBot="1" x14ac:dyDescent="0.25">
      <c r="B46" s="360"/>
      <c r="C46" s="420"/>
      <c r="D46" s="419" t="s">
        <v>512</v>
      </c>
      <c r="E46" s="421"/>
      <c r="F46" s="421"/>
      <c r="G46" s="421"/>
      <c r="H46" s="422"/>
      <c r="I46" s="386" t="s">
        <v>513</v>
      </c>
      <c r="J46" s="405">
        <v>250000</v>
      </c>
      <c r="K46" s="406">
        <v>0</v>
      </c>
      <c r="L46" s="407">
        <v>200000</v>
      </c>
      <c r="M46" s="408">
        <v>50000</v>
      </c>
      <c r="N46" s="408">
        <v>0</v>
      </c>
      <c r="O46" s="412">
        <v>0</v>
      </c>
      <c r="P46" s="408"/>
      <c r="Q46" s="408"/>
      <c r="R46" s="408"/>
      <c r="S46" s="408"/>
      <c r="T46" s="408"/>
      <c r="U46" s="408"/>
      <c r="V46" s="408"/>
      <c r="W46" s="408"/>
      <c r="X46" s="408"/>
      <c r="Y46" s="408"/>
      <c r="Z46" s="408"/>
      <c r="AA46" s="408"/>
      <c r="AB46" s="408"/>
      <c r="AC46" s="408"/>
      <c r="AD46" s="408"/>
      <c r="AE46" s="408"/>
      <c r="AF46" s="408"/>
      <c r="AG46" s="408"/>
      <c r="AH46" s="408"/>
      <c r="AI46" s="408"/>
      <c r="AJ46" s="408"/>
      <c r="AK46" s="408"/>
      <c r="AL46" s="408"/>
      <c r="AM46" s="376">
        <v>0</v>
      </c>
      <c r="AN46" s="408">
        <v>200000</v>
      </c>
      <c r="AO46" s="376">
        <v>50000</v>
      </c>
      <c r="AP46" s="423"/>
      <c r="AQ46" s="423"/>
      <c r="AR46" s="423"/>
      <c r="AS46" s="390">
        <v>0</v>
      </c>
      <c r="AT46" s="424"/>
      <c r="AU46" s="424"/>
      <c r="AV46" s="390"/>
      <c r="AW46" s="424"/>
      <c r="AX46" s="424"/>
      <c r="AY46" s="407"/>
      <c r="AZ46" s="407"/>
      <c r="BA46" s="407"/>
      <c r="BB46" s="407"/>
    </row>
    <row r="47" spans="1:991" s="400" customFormat="1" ht="168" customHeight="1" thickBot="1" x14ac:dyDescent="0.25">
      <c r="B47" s="360"/>
      <c r="C47" s="420"/>
      <c r="D47" s="419" t="s">
        <v>514</v>
      </c>
      <c r="E47" s="421"/>
      <c r="F47" s="421"/>
      <c r="G47" s="421"/>
      <c r="H47" s="422"/>
      <c r="I47" s="386" t="s">
        <v>515</v>
      </c>
      <c r="J47" s="405">
        <v>800000</v>
      </c>
      <c r="K47" s="406">
        <v>0</v>
      </c>
      <c r="L47" s="407">
        <v>600000</v>
      </c>
      <c r="M47" s="408">
        <v>200000</v>
      </c>
      <c r="N47" s="408">
        <v>0</v>
      </c>
      <c r="O47" s="408">
        <v>0</v>
      </c>
      <c r="P47" s="408"/>
      <c r="Q47" s="408"/>
      <c r="R47" s="408"/>
      <c r="S47" s="408"/>
      <c r="T47" s="408"/>
      <c r="U47" s="408"/>
      <c r="V47" s="408"/>
      <c r="W47" s="408"/>
      <c r="X47" s="408"/>
      <c r="Y47" s="408"/>
      <c r="Z47" s="408">
        <f>AA47</f>
        <v>440000</v>
      </c>
      <c r="AA47" s="408">
        <v>440000</v>
      </c>
      <c r="AB47" s="408"/>
      <c r="AC47" s="408"/>
      <c r="AD47" s="408"/>
      <c r="AE47" s="408"/>
      <c r="AF47" s="408"/>
      <c r="AG47" s="408"/>
      <c r="AH47" s="408"/>
      <c r="AI47" s="408"/>
      <c r="AJ47" s="408"/>
      <c r="AK47" s="408"/>
      <c r="AL47" s="408"/>
      <c r="AM47" s="376">
        <v>0</v>
      </c>
      <c r="AN47" s="408">
        <v>360000</v>
      </c>
      <c r="AO47" s="376">
        <v>0</v>
      </c>
      <c r="AP47" s="423"/>
      <c r="AQ47" s="423"/>
      <c r="AR47" s="423"/>
      <c r="AS47" s="390">
        <v>0</v>
      </c>
      <c r="AT47" s="424"/>
      <c r="AU47" s="424"/>
      <c r="AV47" s="390"/>
      <c r="AW47" s="424"/>
      <c r="AX47" s="424"/>
      <c r="AY47" s="407"/>
      <c r="AZ47" s="407"/>
      <c r="BA47" s="407"/>
      <c r="BB47" s="407"/>
    </row>
    <row r="48" spans="1:991" s="400" customFormat="1" ht="156.75" customHeight="1" thickBot="1" x14ac:dyDescent="0.25">
      <c r="B48" s="360"/>
      <c r="C48" s="420"/>
      <c r="D48" s="419" t="s">
        <v>516</v>
      </c>
      <c r="E48" s="421"/>
      <c r="F48" s="421"/>
      <c r="G48" s="421"/>
      <c r="H48" s="422"/>
      <c r="I48" s="386" t="s">
        <v>517</v>
      </c>
      <c r="J48" s="405">
        <v>500000</v>
      </c>
      <c r="K48" s="406">
        <v>0</v>
      </c>
      <c r="L48" s="407">
        <v>250000</v>
      </c>
      <c r="M48" s="408">
        <v>250000</v>
      </c>
      <c r="N48" s="408">
        <v>0</v>
      </c>
      <c r="O48" s="408">
        <v>0</v>
      </c>
      <c r="P48" s="408"/>
      <c r="Q48" s="408"/>
      <c r="R48" s="408"/>
      <c r="S48" s="408"/>
      <c r="T48" s="408"/>
      <c r="U48" s="408"/>
      <c r="V48" s="408"/>
      <c r="W48" s="408"/>
      <c r="X48" s="408"/>
      <c r="Y48" s="408"/>
      <c r="Z48" s="408"/>
      <c r="AA48" s="408"/>
      <c r="AB48" s="408"/>
      <c r="AC48" s="408"/>
      <c r="AD48" s="408"/>
      <c r="AE48" s="408"/>
      <c r="AF48" s="408"/>
      <c r="AG48" s="408"/>
      <c r="AH48" s="408"/>
      <c r="AI48" s="408"/>
      <c r="AJ48" s="408"/>
      <c r="AK48" s="408"/>
      <c r="AL48" s="408"/>
      <c r="AM48" s="376">
        <v>0</v>
      </c>
      <c r="AN48" s="408">
        <v>250000</v>
      </c>
      <c r="AO48" s="376">
        <v>250000</v>
      </c>
      <c r="AP48" s="423"/>
      <c r="AQ48" s="423"/>
      <c r="AR48" s="423"/>
      <c r="AS48" s="390">
        <v>0</v>
      </c>
      <c r="AT48" s="424"/>
      <c r="AU48" s="424"/>
      <c r="AV48" s="390"/>
      <c r="AW48" s="424"/>
      <c r="AX48" s="424"/>
      <c r="AY48" s="407"/>
      <c r="AZ48" s="407"/>
      <c r="BA48" s="407"/>
      <c r="BB48" s="407"/>
    </row>
    <row r="49" spans="1:992" s="381" customFormat="1" ht="138" customHeight="1" thickBot="1" x14ac:dyDescent="0.3">
      <c r="A49" s="400"/>
      <c r="B49" s="425"/>
      <c r="D49" s="419" t="s">
        <v>518</v>
      </c>
      <c r="E49" s="400"/>
      <c r="F49" s="400"/>
      <c r="G49" s="400"/>
      <c r="H49" s="400"/>
      <c r="I49" s="386" t="s">
        <v>519</v>
      </c>
      <c r="J49" s="405">
        <v>223500</v>
      </c>
      <c r="K49" s="406">
        <v>0</v>
      </c>
      <c r="L49" s="407">
        <v>223500</v>
      </c>
      <c r="M49" s="408">
        <v>0</v>
      </c>
      <c r="N49" s="408">
        <v>0</v>
      </c>
      <c r="O49" s="408">
        <v>0</v>
      </c>
      <c r="P49" s="408"/>
      <c r="Q49" s="408"/>
      <c r="R49" s="408"/>
      <c r="S49" s="408"/>
      <c r="T49" s="408"/>
      <c r="U49" s="408"/>
      <c r="V49" s="408"/>
      <c r="W49" s="408"/>
      <c r="X49" s="408"/>
      <c r="Y49" s="408"/>
      <c r="Z49" s="408"/>
      <c r="AA49" s="408"/>
      <c r="AB49" s="408"/>
      <c r="AC49" s="408"/>
      <c r="AD49" s="408"/>
      <c r="AE49" s="408"/>
      <c r="AF49" s="408"/>
      <c r="AG49" s="408"/>
      <c r="AH49" s="408"/>
      <c r="AI49" s="408"/>
      <c r="AJ49" s="408"/>
      <c r="AK49" s="408"/>
      <c r="AL49" s="408"/>
      <c r="AM49" s="376">
        <v>0</v>
      </c>
      <c r="AN49" s="408"/>
      <c r="AO49" s="376">
        <v>0</v>
      </c>
      <c r="AP49" s="424"/>
      <c r="AQ49" s="424"/>
      <c r="AR49" s="424"/>
      <c r="AS49" s="390">
        <v>223500</v>
      </c>
      <c r="AT49" s="424"/>
      <c r="AU49" s="424"/>
      <c r="AV49" s="390"/>
      <c r="AW49" s="424"/>
      <c r="AX49" s="424"/>
      <c r="AY49" s="407"/>
      <c r="AZ49" s="407"/>
      <c r="BA49" s="407"/>
      <c r="BB49" s="407"/>
      <c r="BC49" s="400"/>
      <c r="BD49" s="400"/>
      <c r="BE49" s="400"/>
      <c r="BF49" s="400"/>
      <c r="BG49" s="400"/>
      <c r="BH49" s="400"/>
      <c r="BI49" s="400"/>
      <c r="BJ49" s="400"/>
      <c r="BK49" s="400"/>
      <c r="BL49" s="400"/>
      <c r="BM49" s="400"/>
      <c r="BN49" s="400"/>
      <c r="BO49" s="400"/>
      <c r="BP49" s="400"/>
      <c r="BQ49" s="400"/>
      <c r="BR49" s="400"/>
      <c r="BS49" s="400"/>
      <c r="BT49" s="400"/>
      <c r="BU49" s="400"/>
      <c r="BV49" s="400"/>
      <c r="BW49" s="400"/>
      <c r="BX49" s="400"/>
      <c r="BY49" s="400"/>
      <c r="BZ49" s="400"/>
      <c r="CA49" s="400"/>
      <c r="CB49" s="400"/>
      <c r="CC49" s="400"/>
      <c r="CD49" s="400"/>
      <c r="CE49" s="400"/>
      <c r="CF49" s="400"/>
      <c r="CG49" s="400"/>
      <c r="CH49" s="400"/>
      <c r="CI49" s="400"/>
      <c r="CJ49" s="400"/>
      <c r="CK49" s="400"/>
      <c r="CL49" s="400"/>
      <c r="CM49" s="400"/>
      <c r="CN49" s="400"/>
      <c r="CO49" s="400"/>
      <c r="CP49" s="400"/>
      <c r="CQ49" s="400"/>
      <c r="CR49" s="400"/>
      <c r="CS49" s="400"/>
      <c r="CT49" s="400"/>
      <c r="CU49" s="400"/>
      <c r="CV49" s="400"/>
      <c r="CW49" s="400"/>
      <c r="CX49" s="400"/>
      <c r="CY49" s="400"/>
      <c r="CZ49" s="400"/>
      <c r="DA49" s="400"/>
      <c r="DB49" s="400"/>
      <c r="DC49" s="400"/>
      <c r="DD49" s="400"/>
      <c r="DE49" s="400"/>
      <c r="DF49" s="400"/>
      <c r="DG49" s="400"/>
      <c r="DH49" s="400"/>
      <c r="DI49" s="400"/>
      <c r="DJ49" s="400"/>
      <c r="DK49" s="400"/>
      <c r="DL49" s="400"/>
      <c r="DM49" s="400"/>
      <c r="DN49" s="400"/>
      <c r="DO49" s="400"/>
      <c r="DP49" s="400"/>
      <c r="DQ49" s="400"/>
      <c r="DR49" s="400"/>
      <c r="DS49" s="400"/>
      <c r="DT49" s="400"/>
      <c r="DU49" s="400"/>
      <c r="DV49" s="400"/>
      <c r="DW49" s="400"/>
      <c r="DX49" s="400"/>
      <c r="DY49" s="400"/>
      <c r="DZ49" s="400"/>
      <c r="EA49" s="400"/>
      <c r="EB49" s="400"/>
      <c r="EC49" s="400"/>
      <c r="ED49" s="400"/>
      <c r="EE49" s="400"/>
      <c r="EF49" s="400"/>
      <c r="EG49" s="400"/>
      <c r="EH49" s="400"/>
      <c r="EI49" s="400"/>
      <c r="EJ49" s="400"/>
      <c r="EK49" s="400"/>
      <c r="EL49" s="400"/>
      <c r="EM49" s="400"/>
      <c r="EN49" s="400"/>
      <c r="EO49" s="400"/>
      <c r="EP49" s="400"/>
      <c r="EQ49" s="400"/>
      <c r="ER49" s="400"/>
      <c r="ES49" s="400"/>
      <c r="ET49" s="400"/>
      <c r="EU49" s="400"/>
      <c r="EV49" s="400"/>
      <c r="EW49" s="400"/>
      <c r="EX49" s="400"/>
      <c r="EY49" s="400"/>
      <c r="EZ49" s="400"/>
      <c r="FA49" s="400"/>
      <c r="FB49" s="400"/>
      <c r="FC49" s="400"/>
      <c r="FD49" s="400"/>
      <c r="FE49" s="400"/>
      <c r="FF49" s="400"/>
      <c r="FG49" s="400"/>
      <c r="FH49" s="400"/>
      <c r="FI49" s="400"/>
      <c r="FJ49" s="400"/>
      <c r="FK49" s="400"/>
      <c r="FL49" s="400"/>
      <c r="FM49" s="400"/>
      <c r="FN49" s="400"/>
      <c r="FO49" s="400"/>
      <c r="FP49" s="400"/>
      <c r="FQ49" s="400"/>
      <c r="FR49" s="400"/>
      <c r="FS49" s="400"/>
      <c r="FT49" s="400"/>
      <c r="FU49" s="400"/>
      <c r="FV49" s="400"/>
      <c r="FW49" s="400"/>
      <c r="FX49" s="400"/>
      <c r="FY49" s="400"/>
      <c r="FZ49" s="400"/>
      <c r="GA49" s="400"/>
      <c r="GB49" s="400"/>
      <c r="GC49" s="400"/>
      <c r="GD49" s="400"/>
      <c r="GE49" s="400"/>
      <c r="GF49" s="400"/>
      <c r="GG49" s="400"/>
      <c r="GH49" s="400"/>
      <c r="GI49" s="400"/>
      <c r="GJ49" s="400"/>
      <c r="GK49" s="400"/>
      <c r="GL49" s="400"/>
      <c r="GM49" s="400"/>
      <c r="GN49" s="400"/>
      <c r="GO49" s="400"/>
      <c r="GP49" s="400"/>
      <c r="GQ49" s="400"/>
      <c r="GR49" s="400"/>
      <c r="GS49" s="400"/>
      <c r="GT49" s="400"/>
      <c r="GU49" s="400"/>
      <c r="GV49" s="400"/>
      <c r="GW49" s="400"/>
      <c r="GX49" s="400"/>
      <c r="GY49" s="400"/>
      <c r="GZ49" s="400"/>
      <c r="HA49" s="400"/>
      <c r="HB49" s="400"/>
      <c r="HC49" s="400"/>
      <c r="HD49" s="400"/>
      <c r="HE49" s="400"/>
      <c r="HF49" s="400"/>
      <c r="HG49" s="400"/>
      <c r="HH49" s="400"/>
      <c r="HI49" s="400"/>
      <c r="HJ49" s="400"/>
      <c r="HK49" s="400"/>
      <c r="HL49" s="400"/>
      <c r="HM49" s="400"/>
      <c r="HN49" s="400"/>
      <c r="HO49" s="400"/>
      <c r="HP49" s="400"/>
      <c r="HQ49" s="400"/>
      <c r="HR49" s="400"/>
      <c r="HS49" s="400"/>
      <c r="HT49" s="400"/>
      <c r="HU49" s="400"/>
      <c r="HV49" s="400"/>
      <c r="HW49" s="400"/>
      <c r="HX49" s="400"/>
      <c r="HY49" s="400"/>
      <c r="HZ49" s="400"/>
      <c r="IA49" s="400"/>
      <c r="IB49" s="400"/>
      <c r="IC49" s="400"/>
      <c r="ID49" s="400"/>
      <c r="IE49" s="400"/>
      <c r="IF49" s="400"/>
      <c r="IG49" s="400"/>
      <c r="IH49" s="400"/>
      <c r="II49" s="400"/>
      <c r="IJ49" s="400"/>
      <c r="IK49" s="400"/>
      <c r="IL49" s="400"/>
      <c r="IM49" s="400"/>
      <c r="IN49" s="400"/>
      <c r="IO49" s="400"/>
      <c r="IP49" s="400"/>
      <c r="IQ49" s="400"/>
      <c r="IR49" s="400"/>
      <c r="IS49" s="400"/>
      <c r="IT49" s="400"/>
      <c r="IU49" s="400"/>
      <c r="IV49" s="400"/>
      <c r="IW49" s="400"/>
      <c r="IX49" s="400"/>
      <c r="IY49" s="400"/>
      <c r="IZ49" s="400"/>
      <c r="JA49" s="400"/>
      <c r="JB49" s="400"/>
      <c r="JC49" s="400"/>
      <c r="JD49" s="400"/>
      <c r="JE49" s="400"/>
      <c r="JF49" s="400"/>
      <c r="JG49" s="400"/>
      <c r="JH49" s="400"/>
      <c r="JI49" s="400"/>
      <c r="JJ49" s="400"/>
      <c r="JK49" s="400"/>
      <c r="JL49" s="400"/>
      <c r="JM49" s="400"/>
      <c r="JN49" s="400"/>
      <c r="JO49" s="400"/>
      <c r="JP49" s="400"/>
      <c r="JQ49" s="400"/>
      <c r="JR49" s="400"/>
      <c r="JS49" s="400"/>
      <c r="JT49" s="400"/>
      <c r="JU49" s="400"/>
      <c r="JV49" s="400"/>
      <c r="JW49" s="400"/>
      <c r="JX49" s="400"/>
      <c r="JY49" s="400"/>
      <c r="JZ49" s="400"/>
      <c r="KA49" s="400"/>
      <c r="KB49" s="400"/>
      <c r="KC49" s="400"/>
      <c r="KD49" s="400"/>
      <c r="KE49" s="400"/>
      <c r="KF49" s="400"/>
      <c r="KG49" s="400"/>
      <c r="KH49" s="400"/>
      <c r="KI49" s="400"/>
      <c r="KJ49" s="400"/>
      <c r="KK49" s="400"/>
      <c r="KL49" s="400"/>
      <c r="KM49" s="400"/>
      <c r="KN49" s="400"/>
      <c r="KO49" s="400"/>
      <c r="KP49" s="400"/>
      <c r="KQ49" s="400"/>
      <c r="KR49" s="400"/>
      <c r="KS49" s="400"/>
      <c r="KT49" s="400"/>
      <c r="KU49" s="400"/>
      <c r="KV49" s="400"/>
      <c r="KW49" s="400"/>
      <c r="KX49" s="400"/>
      <c r="KY49" s="400"/>
      <c r="KZ49" s="400"/>
      <c r="LA49" s="400"/>
      <c r="LB49" s="400"/>
      <c r="LC49" s="400"/>
      <c r="LD49" s="400"/>
      <c r="LE49" s="400"/>
      <c r="LF49" s="400"/>
      <c r="LG49" s="400"/>
      <c r="LH49" s="400"/>
      <c r="LI49" s="400"/>
      <c r="LJ49" s="400"/>
      <c r="LK49" s="400"/>
      <c r="LL49" s="400"/>
      <c r="LM49" s="400"/>
      <c r="LN49" s="400"/>
      <c r="LO49" s="400"/>
      <c r="LP49" s="400"/>
      <c r="LQ49" s="400"/>
      <c r="LR49" s="400"/>
      <c r="LS49" s="400"/>
      <c r="LT49" s="400"/>
      <c r="LU49" s="400"/>
      <c r="LV49" s="400"/>
      <c r="LW49" s="400"/>
      <c r="LX49" s="400"/>
      <c r="LY49" s="400"/>
      <c r="LZ49" s="400"/>
      <c r="MA49" s="400"/>
      <c r="MB49" s="400"/>
      <c r="MC49" s="400"/>
      <c r="MD49" s="400"/>
      <c r="ME49" s="400"/>
      <c r="MF49" s="400"/>
      <c r="MG49" s="400"/>
      <c r="MH49" s="400"/>
      <c r="MI49" s="400"/>
      <c r="MJ49" s="400"/>
      <c r="MK49" s="400"/>
      <c r="ML49" s="400"/>
      <c r="MM49" s="400"/>
      <c r="MN49" s="400"/>
      <c r="MO49" s="400"/>
      <c r="MP49" s="400"/>
      <c r="MQ49" s="400"/>
      <c r="MR49" s="400"/>
      <c r="MS49" s="400"/>
      <c r="MT49" s="400"/>
      <c r="MU49" s="400"/>
      <c r="MV49" s="400"/>
      <c r="MW49" s="400"/>
      <c r="MX49" s="400"/>
      <c r="MY49" s="400"/>
      <c r="MZ49" s="400"/>
      <c r="NA49" s="400"/>
      <c r="NB49" s="400"/>
      <c r="NC49" s="400"/>
      <c r="ND49" s="400"/>
      <c r="NE49" s="400"/>
      <c r="NF49" s="400"/>
      <c r="NG49" s="400"/>
      <c r="NH49" s="400"/>
      <c r="NI49" s="400"/>
      <c r="NJ49" s="400"/>
      <c r="NK49" s="400"/>
      <c r="NL49" s="400"/>
      <c r="NM49" s="400"/>
      <c r="NN49" s="400"/>
      <c r="NO49" s="400"/>
      <c r="NP49" s="400"/>
      <c r="NQ49" s="400"/>
      <c r="NR49" s="400"/>
      <c r="NS49" s="400"/>
      <c r="NT49" s="400"/>
      <c r="NU49" s="400"/>
      <c r="NV49" s="400"/>
      <c r="NW49" s="400"/>
      <c r="NX49" s="400"/>
      <c r="NY49" s="400"/>
      <c r="NZ49" s="400"/>
      <c r="OA49" s="400"/>
      <c r="OB49" s="400"/>
      <c r="OC49" s="400"/>
      <c r="OD49" s="400"/>
      <c r="OE49" s="400"/>
      <c r="OF49" s="400"/>
      <c r="OG49" s="400"/>
      <c r="OH49" s="400"/>
      <c r="OI49" s="400"/>
      <c r="OJ49" s="400"/>
      <c r="OK49" s="400"/>
      <c r="OL49" s="400"/>
      <c r="OM49" s="400"/>
      <c r="ON49" s="400"/>
      <c r="OO49" s="400"/>
      <c r="OP49" s="400"/>
      <c r="OQ49" s="400"/>
      <c r="OR49" s="400"/>
      <c r="OS49" s="400"/>
      <c r="OT49" s="400"/>
      <c r="OU49" s="400"/>
      <c r="OV49" s="400"/>
      <c r="OW49" s="400"/>
      <c r="OX49" s="400"/>
      <c r="OY49" s="400"/>
      <c r="OZ49" s="400"/>
      <c r="PA49" s="400"/>
      <c r="PB49" s="400"/>
      <c r="PC49" s="400"/>
      <c r="PD49" s="400"/>
      <c r="PE49" s="400"/>
      <c r="PF49" s="400"/>
      <c r="PG49" s="400"/>
      <c r="PH49" s="400"/>
      <c r="PI49" s="400"/>
      <c r="PJ49" s="400"/>
      <c r="PK49" s="400"/>
      <c r="PL49" s="400"/>
      <c r="PM49" s="400"/>
      <c r="PN49" s="400"/>
      <c r="PO49" s="400"/>
      <c r="PP49" s="400"/>
      <c r="PQ49" s="400"/>
      <c r="PR49" s="400"/>
      <c r="PS49" s="400"/>
      <c r="PT49" s="400"/>
      <c r="PU49" s="400"/>
      <c r="PV49" s="400"/>
      <c r="PW49" s="400"/>
      <c r="PX49" s="400"/>
      <c r="PY49" s="400"/>
      <c r="PZ49" s="400"/>
      <c r="QA49" s="400"/>
      <c r="QB49" s="400"/>
      <c r="QC49" s="400"/>
      <c r="QD49" s="400"/>
      <c r="QE49" s="400"/>
      <c r="QF49" s="400"/>
      <c r="QG49" s="400"/>
      <c r="QH49" s="400"/>
      <c r="QI49" s="400"/>
      <c r="QJ49" s="400"/>
      <c r="QK49" s="400"/>
      <c r="QL49" s="400"/>
      <c r="QM49" s="400"/>
      <c r="QN49" s="400"/>
      <c r="QO49" s="400"/>
      <c r="QP49" s="400"/>
      <c r="QQ49" s="400"/>
      <c r="QR49" s="400"/>
      <c r="QS49" s="400"/>
      <c r="QT49" s="400"/>
      <c r="QU49" s="400"/>
      <c r="QV49" s="400"/>
      <c r="QW49" s="400"/>
      <c r="QX49" s="400"/>
      <c r="QY49" s="400"/>
      <c r="QZ49" s="400"/>
      <c r="RA49" s="400"/>
      <c r="RB49" s="400"/>
      <c r="RC49" s="400"/>
      <c r="RD49" s="400"/>
      <c r="RE49" s="400"/>
      <c r="RF49" s="400"/>
      <c r="RG49" s="400"/>
      <c r="RH49" s="400"/>
      <c r="RI49" s="400"/>
      <c r="RJ49" s="400"/>
      <c r="RK49" s="400"/>
      <c r="RL49" s="400"/>
      <c r="RM49" s="400"/>
      <c r="RN49" s="400"/>
      <c r="RO49" s="400"/>
      <c r="RP49" s="400"/>
      <c r="RQ49" s="400"/>
      <c r="RR49" s="400"/>
      <c r="RS49" s="400"/>
      <c r="RT49" s="400"/>
      <c r="RU49" s="400"/>
      <c r="RV49" s="400"/>
      <c r="RW49" s="400"/>
      <c r="RX49" s="400"/>
      <c r="RY49" s="400"/>
      <c r="RZ49" s="400"/>
      <c r="SA49" s="400"/>
      <c r="SB49" s="400"/>
      <c r="SC49" s="400"/>
      <c r="SD49" s="400"/>
      <c r="SE49" s="400"/>
      <c r="SF49" s="400"/>
      <c r="SG49" s="400"/>
      <c r="SH49" s="400"/>
      <c r="SI49" s="400"/>
      <c r="SJ49" s="400"/>
      <c r="SK49" s="400"/>
      <c r="SL49" s="400"/>
      <c r="SM49" s="400"/>
      <c r="SN49" s="400"/>
      <c r="SO49" s="400"/>
      <c r="SP49" s="400"/>
      <c r="SQ49" s="400"/>
      <c r="SR49" s="400"/>
      <c r="SS49" s="400"/>
      <c r="ST49" s="400"/>
      <c r="SU49" s="400"/>
      <c r="SV49" s="400"/>
      <c r="SW49" s="400"/>
      <c r="SX49" s="400"/>
      <c r="SY49" s="400"/>
      <c r="SZ49" s="400"/>
      <c r="TA49" s="400"/>
      <c r="TB49" s="400"/>
      <c r="TC49" s="400"/>
      <c r="TD49" s="400"/>
      <c r="TE49" s="400"/>
      <c r="TF49" s="400"/>
      <c r="TG49" s="400"/>
      <c r="TH49" s="400"/>
      <c r="TI49" s="400"/>
      <c r="TJ49" s="400"/>
      <c r="TK49" s="400"/>
      <c r="TL49" s="400"/>
      <c r="TM49" s="400"/>
      <c r="TN49" s="400"/>
      <c r="TO49" s="400"/>
      <c r="TP49" s="400"/>
      <c r="TQ49" s="400"/>
      <c r="TR49" s="400"/>
      <c r="TS49" s="400"/>
      <c r="TT49" s="400"/>
      <c r="TU49" s="400"/>
      <c r="TV49" s="400"/>
      <c r="TW49" s="400"/>
      <c r="TX49" s="400"/>
      <c r="TY49" s="400"/>
      <c r="TZ49" s="400"/>
      <c r="UA49" s="400"/>
      <c r="UB49" s="400"/>
      <c r="UC49" s="400"/>
      <c r="UD49" s="400"/>
      <c r="UE49" s="400"/>
      <c r="UF49" s="400"/>
      <c r="UG49" s="400"/>
      <c r="UH49" s="400"/>
      <c r="UI49" s="400"/>
      <c r="UJ49" s="400"/>
      <c r="UK49" s="400"/>
      <c r="UL49" s="400"/>
      <c r="UM49" s="400"/>
      <c r="UN49" s="400"/>
      <c r="UO49" s="400"/>
      <c r="UP49" s="400"/>
      <c r="UQ49" s="400"/>
      <c r="UR49" s="400"/>
      <c r="US49" s="400"/>
      <c r="UT49" s="400"/>
      <c r="UU49" s="400"/>
      <c r="UV49" s="400"/>
      <c r="UW49" s="400"/>
      <c r="UX49" s="400"/>
      <c r="UY49" s="400"/>
      <c r="UZ49" s="400"/>
      <c r="VA49" s="400"/>
      <c r="VB49" s="400"/>
      <c r="VC49" s="400"/>
      <c r="VD49" s="400"/>
      <c r="VE49" s="400"/>
      <c r="VF49" s="400"/>
      <c r="VG49" s="400"/>
      <c r="VH49" s="400"/>
      <c r="VI49" s="400"/>
      <c r="VJ49" s="400"/>
      <c r="VK49" s="400"/>
      <c r="VL49" s="400"/>
      <c r="VM49" s="400"/>
      <c r="VN49" s="400"/>
      <c r="VO49" s="400"/>
      <c r="VP49" s="400"/>
      <c r="VQ49" s="400"/>
      <c r="VR49" s="400"/>
      <c r="VS49" s="400"/>
      <c r="VT49" s="400"/>
      <c r="VU49" s="400"/>
      <c r="VV49" s="400"/>
      <c r="VW49" s="400"/>
      <c r="VX49" s="400"/>
      <c r="VY49" s="400"/>
      <c r="VZ49" s="400"/>
      <c r="WA49" s="400"/>
      <c r="WB49" s="400"/>
      <c r="WC49" s="400"/>
      <c r="WD49" s="400"/>
      <c r="WE49" s="400"/>
      <c r="WF49" s="400"/>
      <c r="WG49" s="400"/>
      <c r="WH49" s="400"/>
      <c r="WI49" s="400"/>
      <c r="WJ49" s="400"/>
      <c r="WK49" s="400"/>
      <c r="WL49" s="400"/>
      <c r="WM49" s="400"/>
      <c r="WN49" s="400"/>
      <c r="WO49" s="400"/>
      <c r="WP49" s="400"/>
      <c r="WQ49" s="400"/>
      <c r="WR49" s="400"/>
      <c r="WS49" s="400"/>
      <c r="WT49" s="400"/>
      <c r="WU49" s="400"/>
      <c r="WV49" s="400"/>
      <c r="WW49" s="400"/>
      <c r="WX49" s="400"/>
      <c r="WY49" s="400"/>
      <c r="WZ49" s="400"/>
      <c r="XA49" s="400"/>
      <c r="XB49" s="400"/>
      <c r="XC49" s="400"/>
      <c r="XD49" s="400"/>
      <c r="XE49" s="400"/>
      <c r="XF49" s="400"/>
      <c r="XG49" s="400"/>
      <c r="XH49" s="400"/>
      <c r="XI49" s="400"/>
      <c r="XJ49" s="400"/>
      <c r="XK49" s="400"/>
      <c r="XL49" s="400"/>
      <c r="XM49" s="400"/>
      <c r="XN49" s="400"/>
      <c r="XO49" s="400"/>
      <c r="XP49" s="400"/>
      <c r="XQ49" s="400"/>
      <c r="XR49" s="400"/>
      <c r="XS49" s="400"/>
      <c r="XT49" s="400"/>
      <c r="XU49" s="400"/>
      <c r="XV49" s="400"/>
      <c r="XW49" s="400"/>
      <c r="XX49" s="400"/>
      <c r="XY49" s="400"/>
      <c r="XZ49" s="400"/>
      <c r="YA49" s="400"/>
      <c r="YB49" s="400"/>
      <c r="YC49" s="400"/>
      <c r="YD49" s="400"/>
      <c r="YE49" s="400"/>
      <c r="YF49" s="400"/>
      <c r="YG49" s="400"/>
      <c r="YH49" s="400"/>
      <c r="YI49" s="400"/>
      <c r="YJ49" s="400"/>
      <c r="YK49" s="400"/>
      <c r="YL49" s="400"/>
      <c r="YM49" s="400"/>
      <c r="YN49" s="400"/>
      <c r="YO49" s="400"/>
      <c r="YP49" s="400"/>
      <c r="YQ49" s="400"/>
      <c r="YR49" s="400"/>
      <c r="YS49" s="400"/>
      <c r="YT49" s="400"/>
      <c r="YU49" s="400"/>
      <c r="YV49" s="400"/>
      <c r="YW49" s="400"/>
      <c r="YX49" s="400"/>
      <c r="YY49" s="400"/>
      <c r="YZ49" s="400"/>
      <c r="ZA49" s="400"/>
      <c r="ZB49" s="400"/>
      <c r="ZC49" s="400"/>
      <c r="ZD49" s="400"/>
      <c r="ZE49" s="400"/>
      <c r="ZF49" s="400"/>
      <c r="ZG49" s="400"/>
      <c r="ZH49" s="400"/>
      <c r="ZI49" s="400"/>
      <c r="ZJ49" s="400"/>
      <c r="ZK49" s="400"/>
      <c r="ZL49" s="400"/>
      <c r="ZM49" s="400"/>
      <c r="ZN49" s="400"/>
      <c r="ZO49" s="400"/>
      <c r="ZP49" s="400"/>
      <c r="ZQ49" s="400"/>
      <c r="ZR49" s="400"/>
      <c r="ZS49" s="400"/>
      <c r="ZT49" s="400"/>
      <c r="ZU49" s="400"/>
      <c r="ZV49" s="400"/>
      <c r="ZW49" s="400"/>
      <c r="ZX49" s="400"/>
      <c r="ZY49" s="400"/>
      <c r="ZZ49" s="400"/>
      <c r="AAA49" s="400"/>
      <c r="AAB49" s="400"/>
      <c r="AAC49" s="400"/>
      <c r="AAD49" s="400"/>
      <c r="AAE49" s="400"/>
      <c r="AAF49" s="400"/>
      <c r="AAG49" s="400"/>
      <c r="AAH49" s="400"/>
      <c r="AAI49" s="400"/>
      <c r="AAJ49" s="400"/>
      <c r="AAK49" s="400"/>
      <c r="AAL49" s="400"/>
      <c r="AAM49" s="400"/>
      <c r="AAN49" s="400"/>
      <c r="AAO49" s="400"/>
      <c r="AAP49" s="400"/>
      <c r="AAQ49" s="400"/>
      <c r="AAR49" s="400"/>
      <c r="AAS49" s="400"/>
      <c r="AAT49" s="400"/>
      <c r="AAU49" s="400"/>
      <c r="AAV49" s="400"/>
      <c r="AAW49" s="400"/>
      <c r="AAX49" s="400"/>
      <c r="AAY49" s="400"/>
      <c r="AAZ49" s="400"/>
      <c r="ABA49" s="400"/>
      <c r="ABB49" s="400"/>
      <c r="ABC49" s="400"/>
      <c r="ABD49" s="400"/>
      <c r="ABE49" s="400"/>
      <c r="ABF49" s="400"/>
      <c r="ABG49" s="400"/>
      <c r="ABH49" s="400"/>
      <c r="ABI49" s="400"/>
      <c r="ABJ49" s="400"/>
      <c r="ABK49" s="400"/>
      <c r="ABL49" s="400"/>
      <c r="ABM49" s="400"/>
      <c r="ABN49" s="400"/>
      <c r="ABO49" s="400"/>
      <c r="ABP49" s="400"/>
      <c r="ABQ49" s="400"/>
      <c r="ABR49" s="400"/>
      <c r="ABS49" s="400"/>
      <c r="ABT49" s="400"/>
      <c r="ABU49" s="400"/>
      <c r="ABV49" s="400"/>
      <c r="ABW49" s="400"/>
      <c r="ABX49" s="400"/>
      <c r="ABY49" s="400"/>
      <c r="ABZ49" s="400"/>
      <c r="ACA49" s="400"/>
      <c r="ACB49" s="400"/>
      <c r="ACC49" s="400"/>
      <c r="ACD49" s="400"/>
      <c r="ACE49" s="400"/>
      <c r="ACF49" s="400"/>
      <c r="ACG49" s="400"/>
      <c r="ACH49" s="400"/>
      <c r="ACI49" s="400"/>
      <c r="ACJ49" s="400"/>
      <c r="ACK49" s="400"/>
      <c r="ACL49" s="400"/>
      <c r="ACM49" s="400"/>
      <c r="ACN49" s="400"/>
      <c r="ACO49" s="400"/>
      <c r="ACP49" s="400"/>
      <c r="ACQ49" s="400"/>
      <c r="ACR49" s="400"/>
      <c r="ACS49" s="400"/>
      <c r="ACT49" s="400"/>
      <c r="ACU49" s="400"/>
      <c r="ACV49" s="400"/>
      <c r="ACW49" s="400"/>
      <c r="ACX49" s="400"/>
      <c r="ACY49" s="400"/>
      <c r="ACZ49" s="400"/>
      <c r="ADA49" s="400"/>
      <c r="ADB49" s="400"/>
      <c r="ADC49" s="400"/>
      <c r="ADD49" s="400"/>
      <c r="ADE49" s="400"/>
      <c r="ADF49" s="400"/>
      <c r="ADG49" s="400"/>
      <c r="ADH49" s="400"/>
      <c r="ADI49" s="400"/>
      <c r="ADJ49" s="400"/>
      <c r="ADK49" s="400"/>
      <c r="ADL49" s="400"/>
      <c r="ADM49" s="400"/>
      <c r="ADN49" s="400"/>
      <c r="ADO49" s="400"/>
      <c r="ADP49" s="400"/>
      <c r="ADQ49" s="400"/>
      <c r="ADR49" s="400"/>
      <c r="ADS49" s="400"/>
      <c r="ADT49" s="400"/>
      <c r="ADU49" s="400"/>
      <c r="ADV49" s="400"/>
      <c r="ADW49" s="400"/>
      <c r="ADX49" s="400"/>
      <c r="ADY49" s="400"/>
      <c r="ADZ49" s="400"/>
      <c r="AEA49" s="400"/>
      <c r="AEB49" s="400"/>
      <c r="AEC49" s="400"/>
      <c r="AED49" s="400"/>
      <c r="AEE49" s="400"/>
      <c r="AEF49" s="400"/>
      <c r="AEG49" s="400"/>
      <c r="AEH49" s="400"/>
      <c r="AEI49" s="400"/>
      <c r="AEJ49" s="400"/>
      <c r="AEK49" s="400"/>
      <c r="AEL49" s="400"/>
      <c r="AEM49" s="400"/>
      <c r="AEN49" s="400"/>
      <c r="AEO49" s="400"/>
      <c r="AEP49" s="400"/>
      <c r="AEQ49" s="400"/>
      <c r="AER49" s="400"/>
      <c r="AES49" s="400"/>
      <c r="AET49" s="400"/>
      <c r="AEU49" s="400"/>
      <c r="AEV49" s="400"/>
      <c r="AEW49" s="400"/>
      <c r="AEX49" s="400"/>
      <c r="AEY49" s="400"/>
      <c r="AEZ49" s="400"/>
      <c r="AFA49" s="400"/>
      <c r="AFB49" s="400"/>
      <c r="AFC49" s="400"/>
      <c r="AFD49" s="400"/>
      <c r="AFE49" s="400"/>
      <c r="AFF49" s="400"/>
      <c r="AFG49" s="400"/>
      <c r="AFH49" s="400"/>
      <c r="AFI49" s="400"/>
      <c r="AFJ49" s="400"/>
      <c r="AFK49" s="400"/>
      <c r="AFL49" s="400"/>
      <c r="AFM49" s="400"/>
      <c r="AFN49" s="400"/>
      <c r="AFO49" s="400"/>
      <c r="AFP49" s="400"/>
      <c r="AFQ49" s="400"/>
      <c r="AFR49" s="400"/>
      <c r="AFS49" s="400"/>
      <c r="AFT49" s="400"/>
      <c r="AFU49" s="400"/>
      <c r="AFV49" s="400"/>
      <c r="AFW49" s="400"/>
      <c r="AFX49" s="400"/>
      <c r="AFY49" s="400"/>
      <c r="AFZ49" s="400"/>
      <c r="AGA49" s="400"/>
      <c r="AGB49" s="400"/>
      <c r="AGC49" s="400"/>
      <c r="AGD49" s="400"/>
      <c r="AGE49" s="400"/>
      <c r="AGF49" s="400"/>
      <c r="AGG49" s="400"/>
      <c r="AGH49" s="400"/>
      <c r="AGI49" s="400"/>
      <c r="AGJ49" s="400"/>
      <c r="AGK49" s="400"/>
      <c r="AGL49" s="400"/>
      <c r="AGM49" s="400"/>
      <c r="AGN49" s="400"/>
      <c r="AGO49" s="400"/>
      <c r="AGP49" s="400"/>
      <c r="AGQ49" s="400"/>
      <c r="AGR49" s="400"/>
      <c r="AGS49" s="400"/>
      <c r="AGT49" s="400"/>
      <c r="AGU49" s="400"/>
      <c r="AGV49" s="400"/>
      <c r="AGW49" s="400"/>
      <c r="AGX49" s="400"/>
      <c r="AGY49" s="400"/>
      <c r="AGZ49" s="400"/>
      <c r="AHA49" s="400"/>
      <c r="AHB49" s="400"/>
      <c r="AHC49" s="400"/>
      <c r="AHD49" s="400"/>
      <c r="AHE49" s="400"/>
      <c r="AHF49" s="400"/>
      <c r="AHG49" s="400"/>
      <c r="AHH49" s="400"/>
      <c r="AHI49" s="400"/>
      <c r="AHJ49" s="400"/>
      <c r="AHK49" s="400"/>
      <c r="AHL49" s="400"/>
      <c r="AHM49" s="400"/>
      <c r="AHN49" s="400"/>
      <c r="AHO49" s="400"/>
      <c r="AHP49" s="400"/>
      <c r="AHQ49" s="400"/>
      <c r="AHR49" s="400"/>
      <c r="AHS49" s="400"/>
      <c r="AHT49" s="400"/>
      <c r="AHU49" s="400"/>
      <c r="AHV49" s="400"/>
      <c r="AHW49" s="400"/>
      <c r="AHX49" s="400"/>
      <c r="AHY49" s="400"/>
      <c r="AHZ49" s="400"/>
      <c r="AIA49" s="400"/>
      <c r="AIB49" s="400"/>
      <c r="AIC49" s="400"/>
      <c r="AID49" s="400"/>
      <c r="AIE49" s="400"/>
      <c r="AIF49" s="400"/>
      <c r="AIG49" s="400"/>
      <c r="AIH49" s="400"/>
      <c r="AII49" s="400"/>
      <c r="AIJ49" s="400"/>
      <c r="AIK49" s="400"/>
      <c r="AIL49" s="400"/>
      <c r="AIM49" s="400"/>
      <c r="AIN49" s="400"/>
      <c r="AIO49" s="400"/>
      <c r="AIP49" s="400"/>
      <c r="AIQ49" s="400"/>
      <c r="AIR49" s="400"/>
      <c r="AIS49" s="400"/>
      <c r="AIT49" s="400"/>
      <c r="AIU49" s="400"/>
      <c r="AIV49" s="400"/>
      <c r="AIW49" s="400"/>
      <c r="AIX49" s="400"/>
      <c r="AIY49" s="400"/>
      <c r="AIZ49" s="400"/>
      <c r="AJA49" s="400"/>
      <c r="AJB49" s="400"/>
      <c r="AJC49" s="400"/>
      <c r="AJD49" s="400"/>
      <c r="AJE49" s="400"/>
      <c r="AJF49" s="400"/>
      <c r="AJG49" s="400"/>
      <c r="AJH49" s="400"/>
      <c r="AJI49" s="400"/>
      <c r="AJJ49" s="400"/>
      <c r="AJK49" s="400"/>
      <c r="AJL49" s="400"/>
      <c r="AJM49" s="400"/>
      <c r="AJN49" s="400"/>
      <c r="AJO49" s="400"/>
      <c r="AJP49" s="400"/>
      <c r="AJQ49" s="400"/>
      <c r="AJR49" s="400"/>
      <c r="AJS49" s="400"/>
      <c r="AJT49" s="400"/>
      <c r="AJU49" s="400"/>
      <c r="AJV49" s="400"/>
      <c r="AJW49" s="400"/>
      <c r="AJX49" s="400"/>
      <c r="AJY49" s="400"/>
      <c r="AJZ49" s="400"/>
      <c r="AKA49" s="400"/>
      <c r="AKB49" s="400"/>
      <c r="AKC49" s="400"/>
      <c r="AKD49" s="400"/>
      <c r="AKE49" s="400"/>
      <c r="AKF49" s="400"/>
      <c r="AKG49" s="400"/>
      <c r="AKH49" s="400"/>
      <c r="AKI49" s="400"/>
      <c r="AKJ49" s="400"/>
      <c r="AKK49" s="400"/>
      <c r="AKL49" s="400"/>
      <c r="AKM49" s="400"/>
      <c r="AKN49" s="400"/>
      <c r="AKO49" s="400"/>
      <c r="AKP49" s="400"/>
      <c r="AKQ49" s="400"/>
      <c r="AKR49" s="400"/>
      <c r="AKS49" s="400"/>
      <c r="AKT49" s="400"/>
      <c r="AKU49" s="400"/>
      <c r="AKV49" s="400"/>
      <c r="AKW49" s="400"/>
      <c r="AKX49" s="400"/>
      <c r="AKY49" s="400"/>
      <c r="AKZ49" s="400"/>
      <c r="ALA49" s="400"/>
      <c r="ALB49" s="400"/>
      <c r="ALC49" s="400"/>
      <c r="ALD49" s="400"/>
    </row>
    <row r="50" spans="1:992" s="381" customFormat="1" ht="139.5" customHeight="1" thickBot="1" x14ac:dyDescent="0.3">
      <c r="A50" s="400"/>
      <c r="B50" s="425"/>
      <c r="D50" s="419" t="s">
        <v>520</v>
      </c>
      <c r="E50" s="400"/>
      <c r="F50" s="400"/>
      <c r="G50" s="400"/>
      <c r="H50" s="400"/>
      <c r="I50" s="426" t="s">
        <v>194</v>
      </c>
      <c r="J50" s="405">
        <v>50000</v>
      </c>
      <c r="K50" s="406"/>
      <c r="L50" s="407">
        <v>50000</v>
      </c>
      <c r="M50" s="408"/>
      <c r="N50" s="408"/>
      <c r="O50" s="408"/>
      <c r="P50" s="408"/>
      <c r="Q50" s="408"/>
      <c r="R50" s="408"/>
      <c r="S50" s="408"/>
      <c r="T50" s="408"/>
      <c r="U50" s="408"/>
      <c r="V50" s="408"/>
      <c r="W50" s="408"/>
      <c r="X50" s="408"/>
      <c r="Y50" s="408"/>
      <c r="Z50" s="408"/>
      <c r="AA50" s="408"/>
      <c r="AB50" s="408"/>
      <c r="AC50" s="408"/>
      <c r="AD50" s="408"/>
      <c r="AE50" s="408"/>
      <c r="AF50" s="408"/>
      <c r="AG50" s="408"/>
      <c r="AH50" s="408"/>
      <c r="AI50" s="408"/>
      <c r="AJ50" s="408"/>
      <c r="AK50" s="408"/>
      <c r="AL50" s="408"/>
      <c r="AM50" s="376">
        <v>0</v>
      </c>
      <c r="AN50" s="408">
        <v>50000</v>
      </c>
      <c r="AO50" s="376">
        <v>0</v>
      </c>
      <c r="AP50" s="424"/>
      <c r="AQ50" s="424"/>
      <c r="AR50" s="424"/>
      <c r="AS50" s="390">
        <v>0</v>
      </c>
      <c r="AT50" s="424"/>
      <c r="AU50" s="424"/>
      <c r="AV50" s="390"/>
      <c r="AW50" s="424"/>
      <c r="AX50" s="424"/>
      <c r="AY50" s="407"/>
      <c r="AZ50" s="407"/>
      <c r="BA50" s="407"/>
      <c r="BB50" s="407"/>
      <c r="BC50" s="400"/>
      <c r="BD50" s="400"/>
      <c r="BE50" s="400"/>
      <c r="BF50" s="400"/>
      <c r="BG50" s="400"/>
      <c r="BH50" s="400"/>
      <c r="BI50" s="400"/>
      <c r="BJ50" s="400"/>
      <c r="BK50" s="400"/>
      <c r="BL50" s="400"/>
      <c r="BM50" s="400"/>
      <c r="BN50" s="400"/>
      <c r="BO50" s="400"/>
      <c r="BP50" s="400"/>
      <c r="BQ50" s="400"/>
      <c r="BR50" s="400"/>
      <c r="BS50" s="400"/>
      <c r="BT50" s="400"/>
      <c r="BU50" s="400"/>
      <c r="BV50" s="400"/>
      <c r="BW50" s="400"/>
      <c r="BX50" s="400"/>
      <c r="BY50" s="400"/>
      <c r="BZ50" s="400"/>
      <c r="CA50" s="400"/>
      <c r="CB50" s="400"/>
      <c r="CC50" s="400"/>
      <c r="CD50" s="400"/>
      <c r="CE50" s="400"/>
      <c r="CF50" s="400"/>
      <c r="CG50" s="400"/>
      <c r="CH50" s="400"/>
      <c r="CI50" s="400"/>
      <c r="CJ50" s="400"/>
      <c r="CK50" s="400"/>
      <c r="CL50" s="400"/>
      <c r="CM50" s="400"/>
      <c r="CN50" s="400"/>
      <c r="CO50" s="400"/>
      <c r="CP50" s="400"/>
      <c r="CQ50" s="400"/>
      <c r="CR50" s="400"/>
      <c r="CS50" s="400"/>
      <c r="CT50" s="400"/>
      <c r="CU50" s="400"/>
      <c r="CV50" s="400"/>
      <c r="CW50" s="400"/>
      <c r="CX50" s="400"/>
      <c r="CY50" s="400"/>
      <c r="CZ50" s="400"/>
      <c r="DA50" s="400"/>
      <c r="DB50" s="400"/>
      <c r="DC50" s="400"/>
      <c r="DD50" s="400"/>
      <c r="DE50" s="400"/>
      <c r="DF50" s="400"/>
      <c r="DG50" s="400"/>
      <c r="DH50" s="400"/>
      <c r="DI50" s="400"/>
      <c r="DJ50" s="400"/>
      <c r="DK50" s="400"/>
      <c r="DL50" s="400"/>
      <c r="DM50" s="400"/>
      <c r="DN50" s="400"/>
      <c r="DO50" s="400"/>
      <c r="DP50" s="400"/>
      <c r="DQ50" s="400"/>
      <c r="DR50" s="400"/>
      <c r="DS50" s="400"/>
      <c r="DT50" s="400"/>
      <c r="DU50" s="400"/>
      <c r="DV50" s="400"/>
      <c r="DW50" s="400"/>
      <c r="DX50" s="400"/>
      <c r="DY50" s="400"/>
      <c r="DZ50" s="400"/>
      <c r="EA50" s="400"/>
      <c r="EB50" s="400"/>
      <c r="EC50" s="400"/>
      <c r="ED50" s="400"/>
      <c r="EE50" s="400"/>
      <c r="EF50" s="400"/>
      <c r="EG50" s="400"/>
      <c r="EH50" s="400"/>
      <c r="EI50" s="400"/>
      <c r="EJ50" s="400"/>
      <c r="EK50" s="400"/>
      <c r="EL50" s="400"/>
      <c r="EM50" s="400"/>
      <c r="EN50" s="400"/>
      <c r="EO50" s="400"/>
      <c r="EP50" s="400"/>
      <c r="EQ50" s="400"/>
      <c r="ER50" s="400"/>
      <c r="ES50" s="400"/>
      <c r="ET50" s="400"/>
      <c r="EU50" s="400"/>
      <c r="EV50" s="400"/>
      <c r="EW50" s="400"/>
      <c r="EX50" s="400"/>
      <c r="EY50" s="400"/>
      <c r="EZ50" s="400"/>
      <c r="FA50" s="400"/>
      <c r="FB50" s="400"/>
      <c r="FC50" s="400"/>
      <c r="FD50" s="400"/>
      <c r="FE50" s="400"/>
      <c r="FF50" s="400"/>
      <c r="FG50" s="400"/>
      <c r="FH50" s="400"/>
      <c r="FI50" s="400"/>
      <c r="FJ50" s="400"/>
      <c r="FK50" s="400"/>
      <c r="FL50" s="400"/>
      <c r="FM50" s="400"/>
      <c r="FN50" s="400"/>
      <c r="FO50" s="400"/>
      <c r="FP50" s="400"/>
      <c r="FQ50" s="400"/>
      <c r="FR50" s="400"/>
      <c r="FS50" s="400"/>
      <c r="FT50" s="400"/>
      <c r="FU50" s="400"/>
      <c r="FV50" s="400"/>
      <c r="FW50" s="400"/>
      <c r="FX50" s="400"/>
      <c r="FY50" s="400"/>
      <c r="FZ50" s="400"/>
      <c r="GA50" s="400"/>
      <c r="GB50" s="400"/>
      <c r="GC50" s="400"/>
      <c r="GD50" s="400"/>
      <c r="GE50" s="400"/>
      <c r="GF50" s="400"/>
      <c r="GG50" s="400"/>
      <c r="GH50" s="400"/>
      <c r="GI50" s="400"/>
      <c r="GJ50" s="400"/>
      <c r="GK50" s="400"/>
      <c r="GL50" s="400"/>
      <c r="GM50" s="400"/>
      <c r="GN50" s="400"/>
      <c r="GO50" s="400"/>
      <c r="GP50" s="400"/>
      <c r="GQ50" s="400"/>
      <c r="GR50" s="400"/>
      <c r="GS50" s="400"/>
      <c r="GT50" s="400"/>
      <c r="GU50" s="400"/>
      <c r="GV50" s="400"/>
      <c r="GW50" s="400"/>
      <c r="GX50" s="400"/>
      <c r="GY50" s="400"/>
      <c r="GZ50" s="400"/>
      <c r="HA50" s="400"/>
      <c r="HB50" s="400"/>
      <c r="HC50" s="400"/>
      <c r="HD50" s="400"/>
      <c r="HE50" s="400"/>
      <c r="HF50" s="400"/>
      <c r="HG50" s="400"/>
      <c r="HH50" s="400"/>
      <c r="HI50" s="400"/>
      <c r="HJ50" s="400"/>
      <c r="HK50" s="400"/>
      <c r="HL50" s="400"/>
      <c r="HM50" s="400"/>
      <c r="HN50" s="400"/>
      <c r="HO50" s="400"/>
      <c r="HP50" s="400"/>
      <c r="HQ50" s="400"/>
      <c r="HR50" s="400"/>
      <c r="HS50" s="400"/>
      <c r="HT50" s="400"/>
      <c r="HU50" s="400"/>
      <c r="HV50" s="400"/>
      <c r="HW50" s="400"/>
      <c r="HX50" s="400"/>
      <c r="HY50" s="400"/>
      <c r="HZ50" s="400"/>
      <c r="IA50" s="400"/>
      <c r="IB50" s="400"/>
      <c r="IC50" s="400"/>
      <c r="ID50" s="400"/>
      <c r="IE50" s="400"/>
      <c r="IF50" s="400"/>
      <c r="IG50" s="400"/>
      <c r="IH50" s="400"/>
      <c r="II50" s="400"/>
      <c r="IJ50" s="400"/>
      <c r="IK50" s="400"/>
      <c r="IL50" s="400"/>
      <c r="IM50" s="400"/>
      <c r="IN50" s="400"/>
      <c r="IO50" s="400"/>
      <c r="IP50" s="400"/>
      <c r="IQ50" s="400"/>
      <c r="IR50" s="400"/>
      <c r="IS50" s="400"/>
      <c r="IT50" s="400"/>
      <c r="IU50" s="400"/>
      <c r="IV50" s="400"/>
      <c r="IW50" s="400"/>
      <c r="IX50" s="400"/>
      <c r="IY50" s="400"/>
      <c r="IZ50" s="400"/>
      <c r="JA50" s="400"/>
      <c r="JB50" s="400"/>
      <c r="JC50" s="400"/>
      <c r="JD50" s="400"/>
      <c r="JE50" s="400"/>
      <c r="JF50" s="400"/>
      <c r="JG50" s="400"/>
      <c r="JH50" s="400"/>
      <c r="JI50" s="400"/>
      <c r="JJ50" s="400"/>
      <c r="JK50" s="400"/>
      <c r="JL50" s="400"/>
      <c r="JM50" s="400"/>
      <c r="JN50" s="400"/>
      <c r="JO50" s="400"/>
      <c r="JP50" s="400"/>
      <c r="JQ50" s="400"/>
      <c r="JR50" s="400"/>
      <c r="JS50" s="400"/>
      <c r="JT50" s="400"/>
      <c r="JU50" s="400"/>
      <c r="JV50" s="400"/>
      <c r="JW50" s="400"/>
      <c r="JX50" s="400"/>
      <c r="JY50" s="400"/>
      <c r="JZ50" s="400"/>
      <c r="KA50" s="400"/>
      <c r="KB50" s="400"/>
      <c r="KC50" s="400"/>
      <c r="KD50" s="400"/>
      <c r="KE50" s="400"/>
      <c r="KF50" s="400"/>
      <c r="KG50" s="400"/>
      <c r="KH50" s="400"/>
      <c r="KI50" s="400"/>
      <c r="KJ50" s="400"/>
      <c r="KK50" s="400"/>
      <c r="KL50" s="400"/>
      <c r="KM50" s="400"/>
      <c r="KN50" s="400"/>
      <c r="KO50" s="400"/>
      <c r="KP50" s="400"/>
      <c r="KQ50" s="400"/>
      <c r="KR50" s="400"/>
      <c r="KS50" s="400"/>
      <c r="KT50" s="400"/>
      <c r="KU50" s="400"/>
      <c r="KV50" s="400"/>
      <c r="KW50" s="400"/>
      <c r="KX50" s="400"/>
      <c r="KY50" s="400"/>
      <c r="KZ50" s="400"/>
      <c r="LA50" s="400"/>
      <c r="LB50" s="400"/>
      <c r="LC50" s="400"/>
      <c r="LD50" s="400"/>
      <c r="LE50" s="400"/>
      <c r="LF50" s="400"/>
      <c r="LG50" s="400"/>
      <c r="LH50" s="400"/>
      <c r="LI50" s="400"/>
      <c r="LJ50" s="400"/>
      <c r="LK50" s="400"/>
      <c r="LL50" s="400"/>
      <c r="LM50" s="400"/>
      <c r="LN50" s="400"/>
      <c r="LO50" s="400"/>
      <c r="LP50" s="400"/>
      <c r="LQ50" s="400"/>
      <c r="LR50" s="400"/>
      <c r="LS50" s="400"/>
      <c r="LT50" s="400"/>
      <c r="LU50" s="400"/>
      <c r="LV50" s="400"/>
      <c r="LW50" s="400"/>
      <c r="LX50" s="400"/>
      <c r="LY50" s="400"/>
      <c r="LZ50" s="400"/>
      <c r="MA50" s="400"/>
      <c r="MB50" s="400"/>
      <c r="MC50" s="400"/>
      <c r="MD50" s="400"/>
      <c r="ME50" s="400"/>
      <c r="MF50" s="400"/>
      <c r="MG50" s="400"/>
      <c r="MH50" s="400"/>
      <c r="MI50" s="400"/>
      <c r="MJ50" s="400"/>
      <c r="MK50" s="400"/>
      <c r="ML50" s="400"/>
      <c r="MM50" s="400"/>
      <c r="MN50" s="400"/>
      <c r="MO50" s="400"/>
      <c r="MP50" s="400"/>
      <c r="MQ50" s="400"/>
      <c r="MR50" s="400"/>
      <c r="MS50" s="400"/>
      <c r="MT50" s="400"/>
      <c r="MU50" s="400"/>
      <c r="MV50" s="400"/>
      <c r="MW50" s="400"/>
      <c r="MX50" s="400"/>
      <c r="MY50" s="400"/>
      <c r="MZ50" s="400"/>
      <c r="NA50" s="400"/>
      <c r="NB50" s="400"/>
      <c r="NC50" s="400"/>
      <c r="ND50" s="400"/>
      <c r="NE50" s="400"/>
      <c r="NF50" s="400"/>
      <c r="NG50" s="400"/>
      <c r="NH50" s="400"/>
      <c r="NI50" s="400"/>
      <c r="NJ50" s="400"/>
      <c r="NK50" s="400"/>
      <c r="NL50" s="400"/>
      <c r="NM50" s="400"/>
      <c r="NN50" s="400"/>
      <c r="NO50" s="400"/>
      <c r="NP50" s="400"/>
      <c r="NQ50" s="400"/>
      <c r="NR50" s="400"/>
      <c r="NS50" s="400"/>
      <c r="NT50" s="400"/>
      <c r="NU50" s="400"/>
      <c r="NV50" s="400"/>
      <c r="NW50" s="400"/>
      <c r="NX50" s="400"/>
      <c r="NY50" s="400"/>
      <c r="NZ50" s="400"/>
      <c r="OA50" s="400"/>
      <c r="OB50" s="400"/>
      <c r="OC50" s="400"/>
      <c r="OD50" s="400"/>
      <c r="OE50" s="400"/>
      <c r="OF50" s="400"/>
      <c r="OG50" s="400"/>
      <c r="OH50" s="400"/>
      <c r="OI50" s="400"/>
      <c r="OJ50" s="400"/>
      <c r="OK50" s="400"/>
      <c r="OL50" s="400"/>
      <c r="OM50" s="400"/>
      <c r="ON50" s="400"/>
      <c r="OO50" s="400"/>
      <c r="OP50" s="400"/>
      <c r="OQ50" s="400"/>
      <c r="OR50" s="400"/>
      <c r="OS50" s="400"/>
      <c r="OT50" s="400"/>
      <c r="OU50" s="400"/>
      <c r="OV50" s="400"/>
      <c r="OW50" s="400"/>
      <c r="OX50" s="400"/>
      <c r="OY50" s="400"/>
      <c r="OZ50" s="400"/>
      <c r="PA50" s="400"/>
      <c r="PB50" s="400"/>
      <c r="PC50" s="400"/>
      <c r="PD50" s="400"/>
      <c r="PE50" s="400"/>
      <c r="PF50" s="400"/>
      <c r="PG50" s="400"/>
      <c r="PH50" s="400"/>
      <c r="PI50" s="400"/>
      <c r="PJ50" s="400"/>
      <c r="PK50" s="400"/>
      <c r="PL50" s="400"/>
      <c r="PM50" s="400"/>
      <c r="PN50" s="400"/>
      <c r="PO50" s="400"/>
      <c r="PP50" s="400"/>
      <c r="PQ50" s="400"/>
      <c r="PR50" s="400"/>
      <c r="PS50" s="400"/>
      <c r="PT50" s="400"/>
      <c r="PU50" s="400"/>
      <c r="PV50" s="400"/>
      <c r="PW50" s="400"/>
      <c r="PX50" s="400"/>
      <c r="PY50" s="400"/>
      <c r="PZ50" s="400"/>
      <c r="QA50" s="400"/>
      <c r="QB50" s="400"/>
      <c r="QC50" s="400"/>
      <c r="QD50" s="400"/>
      <c r="QE50" s="400"/>
      <c r="QF50" s="400"/>
      <c r="QG50" s="400"/>
      <c r="QH50" s="400"/>
      <c r="QI50" s="400"/>
      <c r="QJ50" s="400"/>
      <c r="QK50" s="400"/>
      <c r="QL50" s="400"/>
      <c r="QM50" s="400"/>
      <c r="QN50" s="400"/>
      <c r="QO50" s="400"/>
      <c r="QP50" s="400"/>
      <c r="QQ50" s="400"/>
      <c r="QR50" s="400"/>
      <c r="QS50" s="400"/>
      <c r="QT50" s="400"/>
      <c r="QU50" s="400"/>
      <c r="QV50" s="400"/>
      <c r="QW50" s="400"/>
      <c r="QX50" s="400"/>
      <c r="QY50" s="400"/>
      <c r="QZ50" s="400"/>
      <c r="RA50" s="400"/>
      <c r="RB50" s="400"/>
      <c r="RC50" s="400"/>
      <c r="RD50" s="400"/>
      <c r="RE50" s="400"/>
      <c r="RF50" s="400"/>
      <c r="RG50" s="400"/>
      <c r="RH50" s="400"/>
      <c r="RI50" s="400"/>
      <c r="RJ50" s="400"/>
      <c r="RK50" s="400"/>
      <c r="RL50" s="400"/>
      <c r="RM50" s="400"/>
      <c r="RN50" s="400"/>
      <c r="RO50" s="400"/>
      <c r="RP50" s="400"/>
      <c r="RQ50" s="400"/>
      <c r="RR50" s="400"/>
      <c r="RS50" s="400"/>
      <c r="RT50" s="400"/>
      <c r="RU50" s="400"/>
      <c r="RV50" s="400"/>
      <c r="RW50" s="400"/>
      <c r="RX50" s="400"/>
      <c r="RY50" s="400"/>
      <c r="RZ50" s="400"/>
      <c r="SA50" s="400"/>
      <c r="SB50" s="400"/>
      <c r="SC50" s="400"/>
      <c r="SD50" s="400"/>
      <c r="SE50" s="400"/>
      <c r="SF50" s="400"/>
      <c r="SG50" s="400"/>
      <c r="SH50" s="400"/>
      <c r="SI50" s="400"/>
      <c r="SJ50" s="400"/>
      <c r="SK50" s="400"/>
      <c r="SL50" s="400"/>
      <c r="SM50" s="400"/>
      <c r="SN50" s="400"/>
      <c r="SO50" s="400"/>
      <c r="SP50" s="400"/>
      <c r="SQ50" s="400"/>
      <c r="SR50" s="400"/>
      <c r="SS50" s="400"/>
      <c r="ST50" s="400"/>
      <c r="SU50" s="400"/>
      <c r="SV50" s="400"/>
      <c r="SW50" s="400"/>
      <c r="SX50" s="400"/>
      <c r="SY50" s="400"/>
      <c r="SZ50" s="400"/>
      <c r="TA50" s="400"/>
      <c r="TB50" s="400"/>
      <c r="TC50" s="400"/>
      <c r="TD50" s="400"/>
      <c r="TE50" s="400"/>
      <c r="TF50" s="400"/>
      <c r="TG50" s="400"/>
      <c r="TH50" s="400"/>
      <c r="TI50" s="400"/>
      <c r="TJ50" s="400"/>
      <c r="TK50" s="400"/>
      <c r="TL50" s="400"/>
      <c r="TM50" s="400"/>
      <c r="TN50" s="400"/>
      <c r="TO50" s="400"/>
      <c r="TP50" s="400"/>
      <c r="TQ50" s="400"/>
      <c r="TR50" s="400"/>
      <c r="TS50" s="400"/>
      <c r="TT50" s="400"/>
      <c r="TU50" s="400"/>
      <c r="TV50" s="400"/>
      <c r="TW50" s="400"/>
      <c r="TX50" s="400"/>
      <c r="TY50" s="400"/>
      <c r="TZ50" s="400"/>
      <c r="UA50" s="400"/>
      <c r="UB50" s="400"/>
      <c r="UC50" s="400"/>
      <c r="UD50" s="400"/>
      <c r="UE50" s="400"/>
      <c r="UF50" s="400"/>
      <c r="UG50" s="400"/>
      <c r="UH50" s="400"/>
      <c r="UI50" s="400"/>
      <c r="UJ50" s="400"/>
      <c r="UK50" s="400"/>
      <c r="UL50" s="400"/>
      <c r="UM50" s="400"/>
      <c r="UN50" s="400"/>
      <c r="UO50" s="400"/>
      <c r="UP50" s="400"/>
      <c r="UQ50" s="400"/>
      <c r="UR50" s="400"/>
      <c r="US50" s="400"/>
      <c r="UT50" s="400"/>
      <c r="UU50" s="400"/>
      <c r="UV50" s="400"/>
      <c r="UW50" s="400"/>
      <c r="UX50" s="400"/>
      <c r="UY50" s="400"/>
      <c r="UZ50" s="400"/>
      <c r="VA50" s="400"/>
      <c r="VB50" s="400"/>
      <c r="VC50" s="400"/>
      <c r="VD50" s="400"/>
      <c r="VE50" s="400"/>
      <c r="VF50" s="400"/>
      <c r="VG50" s="400"/>
      <c r="VH50" s="400"/>
      <c r="VI50" s="400"/>
      <c r="VJ50" s="400"/>
      <c r="VK50" s="400"/>
      <c r="VL50" s="400"/>
      <c r="VM50" s="400"/>
      <c r="VN50" s="400"/>
      <c r="VO50" s="400"/>
      <c r="VP50" s="400"/>
      <c r="VQ50" s="400"/>
      <c r="VR50" s="400"/>
      <c r="VS50" s="400"/>
      <c r="VT50" s="400"/>
      <c r="VU50" s="400"/>
      <c r="VV50" s="400"/>
      <c r="VW50" s="400"/>
      <c r="VX50" s="400"/>
      <c r="VY50" s="400"/>
      <c r="VZ50" s="400"/>
      <c r="WA50" s="400"/>
      <c r="WB50" s="400"/>
      <c r="WC50" s="400"/>
      <c r="WD50" s="400"/>
      <c r="WE50" s="400"/>
      <c r="WF50" s="400"/>
      <c r="WG50" s="400"/>
      <c r="WH50" s="400"/>
      <c r="WI50" s="400"/>
      <c r="WJ50" s="400"/>
      <c r="WK50" s="400"/>
      <c r="WL50" s="400"/>
      <c r="WM50" s="400"/>
      <c r="WN50" s="400"/>
      <c r="WO50" s="400"/>
      <c r="WP50" s="400"/>
      <c r="WQ50" s="400"/>
      <c r="WR50" s="400"/>
      <c r="WS50" s="400"/>
      <c r="WT50" s="400"/>
      <c r="WU50" s="400"/>
      <c r="WV50" s="400"/>
      <c r="WW50" s="400"/>
      <c r="WX50" s="400"/>
      <c r="WY50" s="400"/>
      <c r="WZ50" s="400"/>
      <c r="XA50" s="400"/>
      <c r="XB50" s="400"/>
      <c r="XC50" s="400"/>
      <c r="XD50" s="400"/>
      <c r="XE50" s="400"/>
      <c r="XF50" s="400"/>
      <c r="XG50" s="400"/>
      <c r="XH50" s="400"/>
      <c r="XI50" s="400"/>
      <c r="XJ50" s="400"/>
      <c r="XK50" s="400"/>
      <c r="XL50" s="400"/>
      <c r="XM50" s="400"/>
      <c r="XN50" s="400"/>
      <c r="XO50" s="400"/>
      <c r="XP50" s="400"/>
      <c r="XQ50" s="400"/>
      <c r="XR50" s="400"/>
      <c r="XS50" s="400"/>
      <c r="XT50" s="400"/>
      <c r="XU50" s="400"/>
      <c r="XV50" s="400"/>
      <c r="XW50" s="400"/>
      <c r="XX50" s="400"/>
      <c r="XY50" s="400"/>
      <c r="XZ50" s="400"/>
      <c r="YA50" s="400"/>
      <c r="YB50" s="400"/>
      <c r="YC50" s="400"/>
      <c r="YD50" s="400"/>
      <c r="YE50" s="400"/>
      <c r="YF50" s="400"/>
      <c r="YG50" s="400"/>
      <c r="YH50" s="400"/>
      <c r="YI50" s="400"/>
      <c r="YJ50" s="400"/>
      <c r="YK50" s="400"/>
      <c r="YL50" s="400"/>
      <c r="YM50" s="400"/>
      <c r="YN50" s="400"/>
      <c r="YO50" s="400"/>
      <c r="YP50" s="400"/>
      <c r="YQ50" s="400"/>
      <c r="YR50" s="400"/>
      <c r="YS50" s="400"/>
      <c r="YT50" s="400"/>
      <c r="YU50" s="400"/>
      <c r="YV50" s="400"/>
      <c r="YW50" s="400"/>
      <c r="YX50" s="400"/>
      <c r="YY50" s="400"/>
      <c r="YZ50" s="400"/>
      <c r="ZA50" s="400"/>
      <c r="ZB50" s="400"/>
      <c r="ZC50" s="400"/>
      <c r="ZD50" s="400"/>
      <c r="ZE50" s="400"/>
      <c r="ZF50" s="400"/>
      <c r="ZG50" s="400"/>
      <c r="ZH50" s="400"/>
      <c r="ZI50" s="400"/>
      <c r="ZJ50" s="400"/>
      <c r="ZK50" s="400"/>
      <c r="ZL50" s="400"/>
      <c r="ZM50" s="400"/>
      <c r="ZN50" s="400"/>
      <c r="ZO50" s="400"/>
      <c r="ZP50" s="400"/>
      <c r="ZQ50" s="400"/>
      <c r="ZR50" s="400"/>
      <c r="ZS50" s="400"/>
      <c r="ZT50" s="400"/>
      <c r="ZU50" s="400"/>
      <c r="ZV50" s="400"/>
      <c r="ZW50" s="400"/>
      <c r="ZX50" s="400"/>
      <c r="ZY50" s="400"/>
      <c r="ZZ50" s="400"/>
      <c r="AAA50" s="400"/>
      <c r="AAB50" s="400"/>
      <c r="AAC50" s="400"/>
      <c r="AAD50" s="400"/>
      <c r="AAE50" s="400"/>
      <c r="AAF50" s="400"/>
      <c r="AAG50" s="400"/>
      <c r="AAH50" s="400"/>
      <c r="AAI50" s="400"/>
      <c r="AAJ50" s="400"/>
      <c r="AAK50" s="400"/>
      <c r="AAL50" s="400"/>
      <c r="AAM50" s="400"/>
      <c r="AAN50" s="400"/>
      <c r="AAO50" s="400"/>
      <c r="AAP50" s="400"/>
      <c r="AAQ50" s="400"/>
      <c r="AAR50" s="400"/>
      <c r="AAS50" s="400"/>
      <c r="AAT50" s="400"/>
      <c r="AAU50" s="400"/>
      <c r="AAV50" s="400"/>
      <c r="AAW50" s="400"/>
      <c r="AAX50" s="400"/>
      <c r="AAY50" s="400"/>
      <c r="AAZ50" s="400"/>
      <c r="ABA50" s="400"/>
      <c r="ABB50" s="400"/>
      <c r="ABC50" s="400"/>
      <c r="ABD50" s="400"/>
      <c r="ABE50" s="400"/>
      <c r="ABF50" s="400"/>
      <c r="ABG50" s="400"/>
      <c r="ABH50" s="400"/>
      <c r="ABI50" s="400"/>
      <c r="ABJ50" s="400"/>
      <c r="ABK50" s="400"/>
      <c r="ABL50" s="400"/>
      <c r="ABM50" s="400"/>
      <c r="ABN50" s="400"/>
      <c r="ABO50" s="400"/>
      <c r="ABP50" s="400"/>
      <c r="ABQ50" s="400"/>
      <c r="ABR50" s="400"/>
      <c r="ABS50" s="400"/>
      <c r="ABT50" s="400"/>
      <c r="ABU50" s="400"/>
      <c r="ABV50" s="400"/>
      <c r="ABW50" s="400"/>
      <c r="ABX50" s="400"/>
      <c r="ABY50" s="400"/>
      <c r="ABZ50" s="400"/>
      <c r="ACA50" s="400"/>
      <c r="ACB50" s="400"/>
      <c r="ACC50" s="400"/>
      <c r="ACD50" s="400"/>
      <c r="ACE50" s="400"/>
      <c r="ACF50" s="400"/>
      <c r="ACG50" s="400"/>
      <c r="ACH50" s="400"/>
      <c r="ACI50" s="400"/>
      <c r="ACJ50" s="400"/>
      <c r="ACK50" s="400"/>
      <c r="ACL50" s="400"/>
      <c r="ACM50" s="400"/>
      <c r="ACN50" s="400"/>
      <c r="ACO50" s="400"/>
      <c r="ACP50" s="400"/>
      <c r="ACQ50" s="400"/>
      <c r="ACR50" s="400"/>
      <c r="ACS50" s="400"/>
      <c r="ACT50" s="400"/>
      <c r="ACU50" s="400"/>
      <c r="ACV50" s="400"/>
      <c r="ACW50" s="400"/>
      <c r="ACX50" s="400"/>
      <c r="ACY50" s="400"/>
      <c r="ACZ50" s="400"/>
      <c r="ADA50" s="400"/>
      <c r="ADB50" s="400"/>
      <c r="ADC50" s="400"/>
      <c r="ADD50" s="400"/>
      <c r="ADE50" s="400"/>
      <c r="ADF50" s="400"/>
      <c r="ADG50" s="400"/>
      <c r="ADH50" s="400"/>
      <c r="ADI50" s="400"/>
      <c r="ADJ50" s="400"/>
      <c r="ADK50" s="400"/>
      <c r="ADL50" s="400"/>
      <c r="ADM50" s="400"/>
      <c r="ADN50" s="400"/>
      <c r="ADO50" s="400"/>
      <c r="ADP50" s="400"/>
      <c r="ADQ50" s="400"/>
      <c r="ADR50" s="400"/>
      <c r="ADS50" s="400"/>
      <c r="ADT50" s="400"/>
      <c r="ADU50" s="400"/>
      <c r="ADV50" s="400"/>
      <c r="ADW50" s="400"/>
      <c r="ADX50" s="400"/>
      <c r="ADY50" s="400"/>
      <c r="ADZ50" s="400"/>
      <c r="AEA50" s="400"/>
      <c r="AEB50" s="400"/>
      <c r="AEC50" s="400"/>
      <c r="AED50" s="400"/>
      <c r="AEE50" s="400"/>
      <c r="AEF50" s="400"/>
      <c r="AEG50" s="400"/>
      <c r="AEH50" s="400"/>
      <c r="AEI50" s="400"/>
      <c r="AEJ50" s="400"/>
      <c r="AEK50" s="400"/>
      <c r="AEL50" s="400"/>
      <c r="AEM50" s="400"/>
      <c r="AEN50" s="400"/>
      <c r="AEO50" s="400"/>
      <c r="AEP50" s="400"/>
      <c r="AEQ50" s="400"/>
      <c r="AER50" s="400"/>
      <c r="AES50" s="400"/>
      <c r="AET50" s="400"/>
      <c r="AEU50" s="400"/>
      <c r="AEV50" s="400"/>
      <c r="AEW50" s="400"/>
      <c r="AEX50" s="400"/>
      <c r="AEY50" s="400"/>
      <c r="AEZ50" s="400"/>
      <c r="AFA50" s="400"/>
      <c r="AFB50" s="400"/>
      <c r="AFC50" s="400"/>
      <c r="AFD50" s="400"/>
      <c r="AFE50" s="400"/>
      <c r="AFF50" s="400"/>
      <c r="AFG50" s="400"/>
      <c r="AFH50" s="400"/>
      <c r="AFI50" s="400"/>
      <c r="AFJ50" s="400"/>
      <c r="AFK50" s="400"/>
      <c r="AFL50" s="400"/>
      <c r="AFM50" s="400"/>
      <c r="AFN50" s="400"/>
      <c r="AFO50" s="400"/>
      <c r="AFP50" s="400"/>
      <c r="AFQ50" s="400"/>
      <c r="AFR50" s="400"/>
      <c r="AFS50" s="400"/>
      <c r="AFT50" s="400"/>
      <c r="AFU50" s="400"/>
      <c r="AFV50" s="400"/>
      <c r="AFW50" s="400"/>
      <c r="AFX50" s="400"/>
      <c r="AFY50" s="400"/>
      <c r="AFZ50" s="400"/>
      <c r="AGA50" s="400"/>
      <c r="AGB50" s="400"/>
      <c r="AGC50" s="400"/>
      <c r="AGD50" s="400"/>
      <c r="AGE50" s="400"/>
      <c r="AGF50" s="400"/>
      <c r="AGG50" s="400"/>
      <c r="AGH50" s="400"/>
      <c r="AGI50" s="400"/>
      <c r="AGJ50" s="400"/>
      <c r="AGK50" s="400"/>
      <c r="AGL50" s="400"/>
      <c r="AGM50" s="400"/>
      <c r="AGN50" s="400"/>
      <c r="AGO50" s="400"/>
      <c r="AGP50" s="400"/>
      <c r="AGQ50" s="400"/>
      <c r="AGR50" s="400"/>
      <c r="AGS50" s="400"/>
      <c r="AGT50" s="400"/>
      <c r="AGU50" s="400"/>
      <c r="AGV50" s="400"/>
      <c r="AGW50" s="400"/>
      <c r="AGX50" s="400"/>
      <c r="AGY50" s="400"/>
      <c r="AGZ50" s="400"/>
      <c r="AHA50" s="400"/>
      <c r="AHB50" s="400"/>
      <c r="AHC50" s="400"/>
      <c r="AHD50" s="400"/>
      <c r="AHE50" s="400"/>
      <c r="AHF50" s="400"/>
      <c r="AHG50" s="400"/>
      <c r="AHH50" s="400"/>
      <c r="AHI50" s="400"/>
      <c r="AHJ50" s="400"/>
      <c r="AHK50" s="400"/>
      <c r="AHL50" s="400"/>
      <c r="AHM50" s="400"/>
      <c r="AHN50" s="400"/>
      <c r="AHO50" s="400"/>
      <c r="AHP50" s="400"/>
      <c r="AHQ50" s="400"/>
      <c r="AHR50" s="400"/>
      <c r="AHS50" s="400"/>
      <c r="AHT50" s="400"/>
      <c r="AHU50" s="400"/>
      <c r="AHV50" s="400"/>
      <c r="AHW50" s="400"/>
      <c r="AHX50" s="400"/>
      <c r="AHY50" s="400"/>
      <c r="AHZ50" s="400"/>
      <c r="AIA50" s="400"/>
      <c r="AIB50" s="400"/>
      <c r="AIC50" s="400"/>
      <c r="AID50" s="400"/>
      <c r="AIE50" s="400"/>
      <c r="AIF50" s="400"/>
      <c r="AIG50" s="400"/>
      <c r="AIH50" s="400"/>
      <c r="AII50" s="400"/>
      <c r="AIJ50" s="400"/>
      <c r="AIK50" s="400"/>
      <c r="AIL50" s="400"/>
      <c r="AIM50" s="400"/>
      <c r="AIN50" s="400"/>
      <c r="AIO50" s="400"/>
      <c r="AIP50" s="400"/>
      <c r="AIQ50" s="400"/>
      <c r="AIR50" s="400"/>
      <c r="AIS50" s="400"/>
      <c r="AIT50" s="400"/>
      <c r="AIU50" s="400"/>
      <c r="AIV50" s="400"/>
      <c r="AIW50" s="400"/>
      <c r="AIX50" s="400"/>
      <c r="AIY50" s="400"/>
      <c r="AIZ50" s="400"/>
      <c r="AJA50" s="400"/>
      <c r="AJB50" s="400"/>
      <c r="AJC50" s="400"/>
      <c r="AJD50" s="400"/>
      <c r="AJE50" s="400"/>
      <c r="AJF50" s="400"/>
      <c r="AJG50" s="400"/>
      <c r="AJH50" s="400"/>
      <c r="AJI50" s="400"/>
      <c r="AJJ50" s="400"/>
      <c r="AJK50" s="400"/>
      <c r="AJL50" s="400"/>
      <c r="AJM50" s="400"/>
      <c r="AJN50" s="400"/>
      <c r="AJO50" s="400"/>
      <c r="AJP50" s="400"/>
      <c r="AJQ50" s="400"/>
      <c r="AJR50" s="400"/>
      <c r="AJS50" s="400"/>
      <c r="AJT50" s="400"/>
      <c r="AJU50" s="400"/>
      <c r="AJV50" s="400"/>
      <c r="AJW50" s="400"/>
      <c r="AJX50" s="400"/>
      <c r="AJY50" s="400"/>
      <c r="AJZ50" s="400"/>
      <c r="AKA50" s="400"/>
      <c r="AKB50" s="400"/>
      <c r="AKC50" s="400"/>
      <c r="AKD50" s="400"/>
      <c r="AKE50" s="400"/>
      <c r="AKF50" s="400"/>
      <c r="AKG50" s="400"/>
      <c r="AKH50" s="400"/>
      <c r="AKI50" s="400"/>
      <c r="AKJ50" s="400"/>
      <c r="AKK50" s="400"/>
      <c r="AKL50" s="400"/>
      <c r="AKM50" s="400"/>
      <c r="AKN50" s="400"/>
      <c r="AKO50" s="400"/>
      <c r="AKP50" s="400"/>
      <c r="AKQ50" s="400"/>
      <c r="AKR50" s="400"/>
      <c r="AKS50" s="400"/>
      <c r="AKT50" s="400"/>
      <c r="AKU50" s="400"/>
      <c r="AKV50" s="400"/>
      <c r="AKW50" s="400"/>
      <c r="AKX50" s="400"/>
      <c r="AKY50" s="400"/>
      <c r="AKZ50" s="400"/>
      <c r="ALA50" s="400"/>
      <c r="ALB50" s="400"/>
      <c r="ALC50" s="400"/>
      <c r="ALD50" s="400"/>
    </row>
    <row r="51" spans="1:992" ht="80.25" customHeight="1" thickBot="1" x14ac:dyDescent="0.3">
      <c r="B51" s="319"/>
      <c r="C51" s="427" t="e">
        <f>SUM(C10:C43)</f>
        <v>#REF!</v>
      </c>
      <c r="I51" s="428" t="s">
        <v>521</v>
      </c>
      <c r="J51" s="427">
        <f>SUM(J10:J50)</f>
        <v>184647281.64000002</v>
      </c>
      <c r="K51" s="427">
        <f>SUM(K10:K50)</f>
        <v>155392629.09000003</v>
      </c>
      <c r="L51" s="427">
        <f t="shared" ref="L51:BB51" si="0">SUM(L10:L50)</f>
        <v>10723998.550000001</v>
      </c>
      <c r="M51" s="427">
        <f t="shared" si="0"/>
        <v>6190000</v>
      </c>
      <c r="N51" s="427">
        <f t="shared" si="0"/>
        <v>1162554</v>
      </c>
      <c r="O51" s="427">
        <f t="shared" si="0"/>
        <v>11178100</v>
      </c>
      <c r="P51" s="427">
        <f t="shared" si="0"/>
        <v>0</v>
      </c>
      <c r="Q51" s="427">
        <f t="shared" si="0"/>
        <v>0</v>
      </c>
      <c r="R51" s="427">
        <f t="shared" si="0"/>
        <v>44663300</v>
      </c>
      <c r="S51" s="427">
        <f t="shared" si="0"/>
        <v>780000</v>
      </c>
      <c r="T51" s="427">
        <f t="shared" si="0"/>
        <v>0</v>
      </c>
      <c r="U51" s="427">
        <f t="shared" si="0"/>
        <v>0</v>
      </c>
      <c r="V51" s="427">
        <f t="shared" si="0"/>
        <v>0</v>
      </c>
      <c r="W51" s="427">
        <f t="shared" si="0"/>
        <v>7150000</v>
      </c>
      <c r="X51" s="427">
        <f t="shared" si="0"/>
        <v>0</v>
      </c>
      <c r="Y51" s="427">
        <f t="shared" si="0"/>
        <v>0</v>
      </c>
      <c r="Z51" s="427">
        <f t="shared" si="0"/>
        <v>49065226.439999998</v>
      </c>
      <c r="AA51" s="427">
        <f t="shared" si="0"/>
        <v>440000</v>
      </c>
      <c r="AB51" s="427">
        <f t="shared" si="0"/>
        <v>0</v>
      </c>
      <c r="AC51" s="427">
        <f t="shared" si="0"/>
        <v>0</v>
      </c>
      <c r="AD51" s="427">
        <f t="shared" si="0"/>
        <v>0</v>
      </c>
      <c r="AE51" s="427">
        <f t="shared" si="0"/>
        <v>0</v>
      </c>
      <c r="AF51" s="427">
        <f t="shared" si="0"/>
        <v>0</v>
      </c>
      <c r="AG51" s="427">
        <f t="shared" si="0"/>
        <v>0</v>
      </c>
      <c r="AH51" s="427">
        <f t="shared" si="0"/>
        <v>0</v>
      </c>
      <c r="AI51" s="427">
        <f t="shared" si="0"/>
        <v>0</v>
      </c>
      <c r="AJ51" s="427">
        <f t="shared" si="0"/>
        <v>1937728.59</v>
      </c>
      <c r="AK51" s="427">
        <f t="shared" si="0"/>
        <v>0</v>
      </c>
      <c r="AL51" s="427">
        <f t="shared" si="0"/>
        <v>0</v>
      </c>
      <c r="AM51" s="427">
        <f t="shared" si="0"/>
        <v>6192085.5099999998</v>
      </c>
      <c r="AN51" s="427">
        <f t="shared" si="0"/>
        <v>5949445.4299999997</v>
      </c>
      <c r="AO51" s="427">
        <f>SUM(AO10:AO50)</f>
        <v>6792132.79</v>
      </c>
      <c r="AP51" s="427">
        <f t="shared" si="0"/>
        <v>1174224.8</v>
      </c>
      <c r="AQ51" s="427">
        <f t="shared" si="0"/>
        <v>16804982.82</v>
      </c>
      <c r="AR51" s="427">
        <f t="shared" si="0"/>
        <v>1350000</v>
      </c>
      <c r="AS51" s="427">
        <v>12608212.879999999</v>
      </c>
      <c r="AT51" s="427">
        <f t="shared" si="0"/>
        <v>0</v>
      </c>
      <c r="AU51" s="427">
        <f t="shared" si="0"/>
        <v>0</v>
      </c>
      <c r="AV51" s="427">
        <f t="shared" si="0"/>
        <v>0</v>
      </c>
      <c r="AW51" s="427">
        <f t="shared" si="0"/>
        <v>0</v>
      </c>
      <c r="AX51" s="427">
        <f t="shared" si="0"/>
        <v>0</v>
      </c>
      <c r="AY51" s="427">
        <v>47721050</v>
      </c>
      <c r="AZ51" s="427">
        <f t="shared" si="0"/>
        <v>2568100</v>
      </c>
      <c r="BA51" s="427">
        <f t="shared" si="0"/>
        <v>0</v>
      </c>
      <c r="BB51" s="427">
        <f t="shared" si="0"/>
        <v>0</v>
      </c>
    </row>
    <row r="52" spans="1:992" s="431" customFormat="1" ht="24" thickBot="1" x14ac:dyDescent="0.4">
      <c r="A52" s="429"/>
      <c r="B52" s="430"/>
      <c r="C52" s="429"/>
      <c r="D52" s="429"/>
      <c r="E52" s="429"/>
      <c r="F52" s="429"/>
      <c r="G52" s="429"/>
      <c r="H52" s="429"/>
      <c r="I52" s="429"/>
      <c r="J52" s="429"/>
      <c r="K52" s="429"/>
      <c r="M52" s="429"/>
      <c r="N52" s="429"/>
      <c r="O52" s="429"/>
      <c r="P52" s="429"/>
      <c r="Q52" s="429"/>
      <c r="R52" s="429"/>
      <c r="S52" s="429"/>
      <c r="T52" s="429"/>
      <c r="U52" s="429"/>
      <c r="V52" s="429"/>
      <c r="W52" s="429"/>
      <c r="X52" s="429"/>
      <c r="Y52" s="429"/>
      <c r="Z52" s="429"/>
      <c r="AA52" s="429"/>
      <c r="AB52" s="429"/>
      <c r="AC52" s="429"/>
      <c r="AD52" s="429"/>
      <c r="AE52" s="429"/>
      <c r="AF52" s="429"/>
      <c r="AG52" s="429"/>
      <c r="AH52" s="429"/>
      <c r="AI52" s="429"/>
      <c r="AJ52" s="429"/>
      <c r="AK52" s="429"/>
      <c r="AP52" s="429"/>
      <c r="AQ52" s="432">
        <v>10672957.220000001</v>
      </c>
      <c r="AR52" s="429"/>
      <c r="AS52" s="429"/>
      <c r="AT52" s="429"/>
      <c r="AU52" s="429"/>
      <c r="AV52" s="429"/>
      <c r="AW52" s="429"/>
      <c r="AX52" s="429"/>
      <c r="AY52" s="429"/>
      <c r="AZ52" s="429"/>
      <c r="BA52" s="429"/>
      <c r="BB52" s="429"/>
      <c r="BC52" s="429"/>
      <c r="BD52" s="429"/>
      <c r="BE52" s="429"/>
      <c r="BF52" s="429"/>
      <c r="BG52" s="429"/>
      <c r="BH52" s="429"/>
      <c r="BI52" s="429"/>
      <c r="BJ52" s="429"/>
      <c r="BK52" s="429"/>
      <c r="BL52" s="429"/>
      <c r="BM52" s="429"/>
      <c r="BN52" s="429"/>
      <c r="BO52" s="429"/>
      <c r="BP52" s="429"/>
      <c r="BQ52" s="429"/>
      <c r="BR52" s="429"/>
      <c r="BS52" s="429"/>
      <c r="BT52" s="429"/>
      <c r="BU52" s="429"/>
      <c r="BV52" s="429"/>
      <c r="BW52" s="429"/>
      <c r="BX52" s="429"/>
      <c r="BY52" s="429"/>
      <c r="BZ52" s="429"/>
      <c r="CA52" s="429"/>
      <c r="CB52" s="429"/>
      <c r="CC52" s="429"/>
      <c r="CD52" s="429"/>
      <c r="CE52" s="429"/>
      <c r="CF52" s="429"/>
      <c r="CG52" s="429"/>
      <c r="CH52" s="429"/>
      <c r="CI52" s="429"/>
      <c r="CJ52" s="429"/>
      <c r="CK52" s="429"/>
      <c r="CL52" s="429"/>
      <c r="CM52" s="429"/>
      <c r="CN52" s="429"/>
      <c r="CO52" s="429"/>
      <c r="CP52" s="429"/>
      <c r="CQ52" s="429"/>
      <c r="CR52" s="429"/>
      <c r="CS52" s="429"/>
      <c r="CT52" s="429"/>
      <c r="CU52" s="429"/>
      <c r="CV52" s="429"/>
      <c r="CW52" s="429"/>
      <c r="CX52" s="429"/>
      <c r="CY52" s="429"/>
      <c r="CZ52" s="429"/>
      <c r="DA52" s="429"/>
      <c r="DB52" s="429"/>
      <c r="DC52" s="429"/>
      <c r="DD52" s="429"/>
      <c r="DE52" s="429"/>
      <c r="DF52" s="429"/>
      <c r="DG52" s="429"/>
      <c r="DH52" s="429"/>
      <c r="DI52" s="429"/>
      <c r="DJ52" s="429"/>
      <c r="DK52" s="429"/>
      <c r="DL52" s="429"/>
      <c r="DM52" s="429"/>
      <c r="DN52" s="429"/>
      <c r="DO52" s="429"/>
      <c r="DP52" s="429"/>
      <c r="DQ52" s="429"/>
      <c r="DR52" s="429"/>
      <c r="DS52" s="429"/>
      <c r="DT52" s="429"/>
      <c r="DU52" s="429"/>
      <c r="DV52" s="429"/>
      <c r="DW52" s="429"/>
      <c r="DX52" s="429"/>
      <c r="DY52" s="429"/>
      <c r="DZ52" s="429"/>
      <c r="EA52" s="429"/>
      <c r="EB52" s="429"/>
      <c r="EC52" s="429"/>
      <c r="ED52" s="429"/>
      <c r="EE52" s="429"/>
      <c r="EF52" s="429"/>
      <c r="EG52" s="429"/>
      <c r="EH52" s="429"/>
      <c r="EI52" s="429"/>
      <c r="EJ52" s="429"/>
      <c r="EK52" s="429"/>
      <c r="EL52" s="429"/>
      <c r="EM52" s="429"/>
      <c r="EN52" s="429"/>
      <c r="EO52" s="429"/>
      <c r="EP52" s="429"/>
      <c r="EQ52" s="429"/>
      <c r="ER52" s="429"/>
      <c r="ES52" s="429"/>
      <c r="ET52" s="429"/>
      <c r="EU52" s="429"/>
      <c r="EV52" s="429"/>
      <c r="EW52" s="429"/>
      <c r="EX52" s="429"/>
      <c r="EY52" s="429"/>
      <c r="EZ52" s="429"/>
      <c r="FA52" s="429"/>
      <c r="FB52" s="429"/>
      <c r="FC52" s="429"/>
      <c r="FD52" s="429"/>
      <c r="FE52" s="429"/>
      <c r="FF52" s="429"/>
      <c r="FG52" s="429"/>
      <c r="FH52" s="429"/>
      <c r="FI52" s="429"/>
      <c r="FJ52" s="429"/>
      <c r="FK52" s="429"/>
      <c r="FL52" s="429"/>
      <c r="FM52" s="429"/>
      <c r="FN52" s="429"/>
      <c r="FO52" s="429"/>
      <c r="FP52" s="429"/>
      <c r="FQ52" s="429"/>
      <c r="FR52" s="429"/>
      <c r="FS52" s="429"/>
      <c r="FT52" s="429"/>
      <c r="FU52" s="429"/>
      <c r="FV52" s="429"/>
      <c r="FW52" s="429"/>
      <c r="FX52" s="429"/>
      <c r="FY52" s="429"/>
      <c r="FZ52" s="429"/>
      <c r="GA52" s="429"/>
      <c r="GB52" s="429"/>
      <c r="GC52" s="429"/>
      <c r="GD52" s="429"/>
      <c r="GE52" s="429"/>
      <c r="GF52" s="429"/>
      <c r="GG52" s="429"/>
      <c r="GH52" s="429"/>
      <c r="GI52" s="429"/>
      <c r="GJ52" s="429"/>
      <c r="GK52" s="429"/>
      <c r="GL52" s="429"/>
      <c r="GM52" s="429"/>
      <c r="GN52" s="429"/>
      <c r="GO52" s="429"/>
      <c r="GP52" s="429"/>
      <c r="GQ52" s="429"/>
      <c r="GR52" s="429"/>
      <c r="GS52" s="429"/>
      <c r="GT52" s="429"/>
      <c r="GU52" s="429"/>
      <c r="GV52" s="429"/>
      <c r="GW52" s="429"/>
      <c r="GX52" s="429"/>
      <c r="GY52" s="429"/>
      <c r="GZ52" s="429"/>
      <c r="HA52" s="429"/>
      <c r="HB52" s="429"/>
      <c r="HC52" s="429"/>
      <c r="HD52" s="429"/>
      <c r="HE52" s="429"/>
      <c r="HF52" s="429"/>
      <c r="HG52" s="429"/>
      <c r="HH52" s="429"/>
      <c r="HI52" s="429"/>
      <c r="HJ52" s="429"/>
      <c r="HK52" s="429"/>
      <c r="HL52" s="429"/>
      <c r="HM52" s="429"/>
      <c r="HN52" s="429"/>
      <c r="HO52" s="429"/>
      <c r="HP52" s="429"/>
      <c r="HQ52" s="429"/>
      <c r="HR52" s="429"/>
      <c r="HS52" s="429"/>
      <c r="HT52" s="429"/>
      <c r="HU52" s="429"/>
      <c r="HV52" s="429"/>
      <c r="HW52" s="429"/>
      <c r="HX52" s="429"/>
      <c r="HY52" s="429"/>
      <c r="HZ52" s="429"/>
      <c r="IA52" s="429"/>
      <c r="IB52" s="429"/>
      <c r="IC52" s="429"/>
      <c r="ID52" s="429"/>
      <c r="IE52" s="429"/>
      <c r="IF52" s="429"/>
      <c r="IG52" s="429"/>
      <c r="IH52" s="429"/>
      <c r="II52" s="429"/>
      <c r="IJ52" s="429"/>
      <c r="IK52" s="429"/>
      <c r="IL52" s="429"/>
      <c r="IM52" s="429"/>
      <c r="IN52" s="429"/>
      <c r="IO52" s="429"/>
      <c r="IP52" s="429"/>
      <c r="IQ52" s="429"/>
      <c r="IR52" s="429"/>
      <c r="IS52" s="429"/>
      <c r="IT52" s="429"/>
      <c r="IU52" s="429"/>
      <c r="IV52" s="429"/>
      <c r="IW52" s="429"/>
      <c r="IX52" s="429"/>
      <c r="IY52" s="429"/>
      <c r="IZ52" s="429"/>
      <c r="JA52" s="429"/>
      <c r="JB52" s="429"/>
      <c r="JC52" s="429"/>
      <c r="JD52" s="429"/>
      <c r="JE52" s="429"/>
      <c r="JF52" s="429"/>
      <c r="JG52" s="429"/>
      <c r="JH52" s="429"/>
      <c r="JI52" s="429"/>
      <c r="JJ52" s="429"/>
      <c r="JK52" s="429"/>
      <c r="JL52" s="429"/>
      <c r="JM52" s="429"/>
      <c r="JN52" s="429"/>
      <c r="JO52" s="429"/>
      <c r="JP52" s="429"/>
      <c r="JQ52" s="429"/>
      <c r="JR52" s="429"/>
      <c r="JS52" s="429"/>
      <c r="JT52" s="429"/>
      <c r="JU52" s="429"/>
      <c r="JV52" s="429"/>
      <c r="JW52" s="429"/>
      <c r="JX52" s="429"/>
      <c r="JY52" s="429"/>
      <c r="JZ52" s="429"/>
      <c r="KA52" s="429"/>
      <c r="KB52" s="429"/>
      <c r="KC52" s="429"/>
      <c r="KD52" s="429"/>
      <c r="KE52" s="429"/>
      <c r="KF52" s="429"/>
      <c r="KG52" s="429"/>
      <c r="KH52" s="429"/>
      <c r="KI52" s="429"/>
      <c r="KJ52" s="429"/>
      <c r="KK52" s="429"/>
      <c r="KL52" s="429"/>
      <c r="KM52" s="429"/>
      <c r="KN52" s="429"/>
      <c r="KO52" s="429"/>
      <c r="KP52" s="429"/>
      <c r="KQ52" s="429"/>
      <c r="KR52" s="429"/>
      <c r="KS52" s="429"/>
      <c r="KT52" s="429"/>
      <c r="KU52" s="429"/>
      <c r="KV52" s="429"/>
      <c r="KW52" s="429"/>
      <c r="KX52" s="429"/>
      <c r="KY52" s="429"/>
      <c r="KZ52" s="429"/>
      <c r="LA52" s="429"/>
      <c r="LB52" s="429"/>
      <c r="LC52" s="429"/>
      <c r="LD52" s="429"/>
      <c r="LE52" s="429"/>
      <c r="LF52" s="429"/>
      <c r="LG52" s="429"/>
      <c r="LH52" s="429"/>
      <c r="LI52" s="429"/>
      <c r="LJ52" s="429"/>
      <c r="LK52" s="429"/>
      <c r="LL52" s="429"/>
      <c r="LM52" s="429"/>
      <c r="LN52" s="429"/>
      <c r="LO52" s="429"/>
      <c r="LP52" s="429"/>
      <c r="LQ52" s="429"/>
      <c r="LR52" s="429"/>
      <c r="LS52" s="429"/>
      <c r="LT52" s="429"/>
      <c r="LU52" s="429"/>
      <c r="LV52" s="429"/>
      <c r="LW52" s="429"/>
      <c r="LX52" s="429"/>
      <c r="LY52" s="429"/>
      <c r="LZ52" s="429"/>
      <c r="MA52" s="429"/>
      <c r="MB52" s="429"/>
      <c r="MC52" s="429"/>
      <c r="MD52" s="429"/>
      <c r="ME52" s="429"/>
      <c r="MF52" s="429"/>
      <c r="MG52" s="429"/>
      <c r="MH52" s="429"/>
      <c r="MI52" s="429"/>
      <c r="MJ52" s="429"/>
      <c r="MK52" s="429"/>
      <c r="ML52" s="429"/>
      <c r="MM52" s="429"/>
      <c r="MN52" s="429"/>
      <c r="MO52" s="429"/>
      <c r="MP52" s="429"/>
      <c r="MQ52" s="429"/>
      <c r="MR52" s="429"/>
      <c r="MS52" s="429"/>
      <c r="MT52" s="429"/>
      <c r="MU52" s="429"/>
      <c r="MV52" s="429"/>
      <c r="MW52" s="429"/>
      <c r="MX52" s="429"/>
      <c r="MY52" s="429"/>
      <c r="MZ52" s="429"/>
      <c r="NA52" s="429"/>
      <c r="NB52" s="429"/>
      <c r="NC52" s="429"/>
      <c r="ND52" s="429"/>
      <c r="NE52" s="429"/>
      <c r="NF52" s="429"/>
      <c r="NG52" s="429"/>
      <c r="NH52" s="429"/>
      <c r="NI52" s="429"/>
      <c r="NJ52" s="429"/>
      <c r="NK52" s="429"/>
      <c r="NL52" s="429"/>
      <c r="NM52" s="429"/>
      <c r="NN52" s="429"/>
      <c r="NO52" s="429"/>
      <c r="NP52" s="429"/>
      <c r="NQ52" s="429"/>
      <c r="NR52" s="429"/>
      <c r="NS52" s="429"/>
      <c r="NT52" s="429"/>
      <c r="NU52" s="429"/>
      <c r="NV52" s="429"/>
      <c r="NW52" s="429"/>
      <c r="NX52" s="429"/>
      <c r="NY52" s="429"/>
      <c r="NZ52" s="429"/>
      <c r="OA52" s="429"/>
      <c r="OB52" s="429"/>
      <c r="OC52" s="429"/>
      <c r="OD52" s="429"/>
      <c r="OE52" s="429"/>
      <c r="OF52" s="429"/>
      <c r="OG52" s="429"/>
      <c r="OH52" s="429"/>
      <c r="OI52" s="429"/>
      <c r="OJ52" s="429"/>
      <c r="OK52" s="429"/>
      <c r="OL52" s="429"/>
      <c r="OM52" s="429"/>
      <c r="ON52" s="429"/>
      <c r="OO52" s="429"/>
      <c r="OP52" s="429"/>
      <c r="OQ52" s="429"/>
      <c r="OR52" s="429"/>
      <c r="OS52" s="429"/>
      <c r="OT52" s="429"/>
      <c r="OU52" s="429"/>
      <c r="OV52" s="429"/>
      <c r="OW52" s="429"/>
      <c r="OX52" s="429"/>
      <c r="OY52" s="429"/>
      <c r="OZ52" s="429"/>
      <c r="PA52" s="429"/>
      <c r="PB52" s="429"/>
      <c r="PC52" s="429"/>
      <c r="PD52" s="429"/>
      <c r="PE52" s="429"/>
      <c r="PF52" s="429"/>
      <c r="PG52" s="429"/>
      <c r="PH52" s="429"/>
      <c r="PI52" s="429"/>
      <c r="PJ52" s="429"/>
      <c r="PK52" s="429"/>
      <c r="PL52" s="429"/>
      <c r="PM52" s="429"/>
      <c r="PN52" s="429"/>
      <c r="PO52" s="429"/>
      <c r="PP52" s="429"/>
      <c r="PQ52" s="429"/>
      <c r="PR52" s="429"/>
      <c r="PS52" s="429"/>
      <c r="PT52" s="429"/>
      <c r="PU52" s="429"/>
      <c r="PV52" s="429"/>
      <c r="PW52" s="429"/>
      <c r="PX52" s="429"/>
      <c r="PY52" s="429"/>
      <c r="PZ52" s="429"/>
      <c r="QA52" s="429"/>
      <c r="QB52" s="429"/>
      <c r="QC52" s="429"/>
      <c r="QD52" s="429"/>
      <c r="QE52" s="429"/>
      <c r="QF52" s="429"/>
      <c r="QG52" s="429"/>
      <c r="QH52" s="429"/>
      <c r="QI52" s="429"/>
      <c r="QJ52" s="429"/>
      <c r="QK52" s="429"/>
      <c r="QL52" s="429"/>
      <c r="QM52" s="429"/>
      <c r="QN52" s="429"/>
      <c r="QO52" s="429"/>
      <c r="QP52" s="429"/>
      <c r="QQ52" s="429"/>
      <c r="QR52" s="429"/>
      <c r="QS52" s="429"/>
      <c r="QT52" s="429"/>
      <c r="QU52" s="429"/>
      <c r="QV52" s="429"/>
      <c r="QW52" s="429"/>
      <c r="QX52" s="429"/>
      <c r="QY52" s="429"/>
      <c r="QZ52" s="429"/>
      <c r="RA52" s="429"/>
      <c r="RB52" s="429"/>
      <c r="RC52" s="429"/>
      <c r="RD52" s="429"/>
      <c r="RE52" s="429"/>
      <c r="RF52" s="429"/>
      <c r="RG52" s="429"/>
      <c r="RH52" s="429"/>
      <c r="RI52" s="429"/>
      <c r="RJ52" s="429"/>
      <c r="RK52" s="429"/>
      <c r="RL52" s="429"/>
      <c r="RM52" s="429"/>
      <c r="RN52" s="429"/>
      <c r="RO52" s="429"/>
      <c r="RP52" s="429"/>
      <c r="RQ52" s="429"/>
      <c r="RR52" s="429"/>
      <c r="RS52" s="429"/>
      <c r="RT52" s="429"/>
      <c r="RU52" s="429"/>
      <c r="RV52" s="429"/>
      <c r="RW52" s="429"/>
      <c r="RX52" s="429"/>
      <c r="RY52" s="429"/>
      <c r="RZ52" s="429"/>
      <c r="SA52" s="429"/>
      <c r="SB52" s="429"/>
      <c r="SC52" s="429"/>
      <c r="SD52" s="429"/>
      <c r="SE52" s="429"/>
      <c r="SF52" s="429"/>
      <c r="SG52" s="429"/>
      <c r="SH52" s="429"/>
      <c r="SI52" s="429"/>
      <c r="SJ52" s="429"/>
      <c r="SK52" s="429"/>
      <c r="SL52" s="429"/>
      <c r="SM52" s="429"/>
      <c r="SN52" s="429"/>
      <c r="SO52" s="429"/>
      <c r="SP52" s="429"/>
      <c r="SQ52" s="429"/>
      <c r="SR52" s="429"/>
      <c r="SS52" s="429"/>
      <c r="ST52" s="429"/>
      <c r="SU52" s="429"/>
      <c r="SV52" s="429"/>
      <c r="SW52" s="429"/>
      <c r="SX52" s="429"/>
      <c r="SY52" s="429"/>
      <c r="SZ52" s="429"/>
      <c r="TA52" s="429"/>
      <c r="TB52" s="429"/>
      <c r="TC52" s="429"/>
      <c r="TD52" s="429"/>
      <c r="TE52" s="429"/>
      <c r="TF52" s="429"/>
      <c r="TG52" s="429"/>
      <c r="TH52" s="429"/>
      <c r="TI52" s="429"/>
      <c r="TJ52" s="429"/>
      <c r="TK52" s="429"/>
      <c r="TL52" s="429"/>
      <c r="TM52" s="429"/>
      <c r="TN52" s="429"/>
      <c r="TO52" s="429"/>
      <c r="TP52" s="429"/>
      <c r="TQ52" s="429"/>
      <c r="TR52" s="429"/>
      <c r="TS52" s="429"/>
      <c r="TT52" s="429"/>
      <c r="TU52" s="429"/>
      <c r="TV52" s="429"/>
      <c r="TW52" s="429"/>
      <c r="TX52" s="429"/>
      <c r="TY52" s="429"/>
      <c r="TZ52" s="429"/>
      <c r="UA52" s="429"/>
      <c r="UB52" s="429"/>
      <c r="UC52" s="429"/>
      <c r="UD52" s="429"/>
      <c r="UE52" s="429"/>
      <c r="UF52" s="429"/>
      <c r="UG52" s="429"/>
      <c r="UH52" s="429"/>
      <c r="UI52" s="429"/>
      <c r="UJ52" s="429"/>
      <c r="UK52" s="429"/>
      <c r="UL52" s="429"/>
      <c r="UM52" s="429"/>
      <c r="UN52" s="429"/>
      <c r="UO52" s="429"/>
      <c r="UP52" s="429"/>
      <c r="UQ52" s="429"/>
      <c r="UR52" s="429"/>
      <c r="US52" s="429"/>
      <c r="UT52" s="429"/>
      <c r="UU52" s="429"/>
      <c r="UV52" s="429"/>
      <c r="UW52" s="429"/>
      <c r="UX52" s="429"/>
      <c r="UY52" s="429"/>
      <c r="UZ52" s="429"/>
      <c r="VA52" s="429"/>
      <c r="VB52" s="429"/>
      <c r="VC52" s="429"/>
      <c r="VD52" s="429"/>
      <c r="VE52" s="429"/>
      <c r="VF52" s="429"/>
      <c r="VG52" s="429"/>
      <c r="VH52" s="429"/>
      <c r="VI52" s="429"/>
      <c r="VJ52" s="429"/>
      <c r="VK52" s="429"/>
      <c r="VL52" s="429"/>
      <c r="VM52" s="429"/>
      <c r="VN52" s="429"/>
      <c r="VO52" s="429"/>
      <c r="VP52" s="429"/>
      <c r="VQ52" s="429"/>
      <c r="VR52" s="429"/>
      <c r="VS52" s="429"/>
      <c r="VT52" s="429"/>
      <c r="VU52" s="429"/>
      <c r="VV52" s="429"/>
      <c r="VW52" s="429"/>
      <c r="VX52" s="429"/>
      <c r="VY52" s="429"/>
      <c r="VZ52" s="429"/>
      <c r="WA52" s="429"/>
      <c r="WB52" s="429"/>
      <c r="WC52" s="429"/>
      <c r="WD52" s="429"/>
      <c r="WE52" s="429"/>
      <c r="WF52" s="429"/>
      <c r="WG52" s="429"/>
      <c r="WH52" s="429"/>
      <c r="WI52" s="429"/>
      <c r="WJ52" s="429"/>
      <c r="WK52" s="429"/>
      <c r="WL52" s="429"/>
      <c r="WM52" s="429"/>
      <c r="WN52" s="429"/>
      <c r="WO52" s="429"/>
      <c r="WP52" s="429"/>
      <c r="WQ52" s="429"/>
      <c r="WR52" s="429"/>
      <c r="WS52" s="429"/>
      <c r="WT52" s="429"/>
      <c r="WU52" s="429"/>
      <c r="WV52" s="429"/>
      <c r="WW52" s="429"/>
      <c r="WX52" s="429"/>
      <c r="WY52" s="429"/>
      <c r="WZ52" s="429"/>
      <c r="XA52" s="429"/>
      <c r="XB52" s="429"/>
      <c r="XC52" s="429"/>
      <c r="XD52" s="429"/>
      <c r="XE52" s="429"/>
      <c r="XF52" s="429"/>
      <c r="XG52" s="429"/>
      <c r="XH52" s="429"/>
      <c r="XI52" s="429"/>
      <c r="XJ52" s="429"/>
      <c r="XK52" s="429"/>
      <c r="XL52" s="429"/>
      <c r="XM52" s="429"/>
      <c r="XN52" s="429"/>
      <c r="XO52" s="429"/>
      <c r="XP52" s="429"/>
      <c r="XQ52" s="429"/>
      <c r="XR52" s="429"/>
      <c r="XS52" s="429"/>
      <c r="XT52" s="429"/>
      <c r="XU52" s="429"/>
      <c r="XV52" s="429"/>
      <c r="XW52" s="429"/>
      <c r="XX52" s="429"/>
      <c r="XY52" s="429"/>
      <c r="XZ52" s="429"/>
      <c r="YA52" s="429"/>
      <c r="YB52" s="429"/>
      <c r="YC52" s="429"/>
      <c r="YD52" s="429"/>
      <c r="YE52" s="429"/>
      <c r="YF52" s="429"/>
      <c r="YG52" s="429"/>
      <c r="YH52" s="429"/>
      <c r="YI52" s="429"/>
      <c r="YJ52" s="429"/>
      <c r="YK52" s="429"/>
      <c r="YL52" s="429"/>
      <c r="YM52" s="429"/>
      <c r="YN52" s="429"/>
      <c r="YO52" s="429"/>
      <c r="YP52" s="429"/>
      <c r="YQ52" s="429"/>
      <c r="YR52" s="429"/>
      <c r="YS52" s="429"/>
      <c r="YT52" s="429"/>
      <c r="YU52" s="429"/>
      <c r="YV52" s="429"/>
      <c r="YW52" s="429"/>
      <c r="YX52" s="429"/>
      <c r="YY52" s="429"/>
      <c r="YZ52" s="429"/>
      <c r="ZA52" s="429"/>
      <c r="ZB52" s="429"/>
      <c r="ZC52" s="429"/>
      <c r="ZD52" s="429"/>
      <c r="ZE52" s="429"/>
      <c r="ZF52" s="429"/>
      <c r="ZG52" s="429"/>
      <c r="ZH52" s="429"/>
      <c r="ZI52" s="429"/>
      <c r="ZJ52" s="429"/>
      <c r="ZK52" s="429"/>
      <c r="ZL52" s="429"/>
      <c r="ZM52" s="429"/>
      <c r="ZN52" s="429"/>
      <c r="ZO52" s="429"/>
      <c r="ZP52" s="429"/>
      <c r="ZQ52" s="429"/>
      <c r="ZR52" s="429"/>
      <c r="ZS52" s="429"/>
      <c r="ZT52" s="429"/>
      <c r="ZU52" s="429"/>
      <c r="ZV52" s="429"/>
      <c r="ZW52" s="429"/>
      <c r="ZX52" s="429"/>
      <c r="ZY52" s="429"/>
      <c r="ZZ52" s="429"/>
      <c r="AAA52" s="429"/>
      <c r="AAB52" s="429"/>
      <c r="AAC52" s="429"/>
      <c r="AAD52" s="429"/>
      <c r="AAE52" s="429"/>
      <c r="AAF52" s="429"/>
      <c r="AAG52" s="429"/>
      <c r="AAH52" s="429"/>
      <c r="AAI52" s="429"/>
      <c r="AAJ52" s="429"/>
      <c r="AAK52" s="429"/>
      <c r="AAL52" s="429"/>
      <c r="AAM52" s="429"/>
      <c r="AAN52" s="429"/>
      <c r="AAO52" s="429"/>
      <c r="AAP52" s="429"/>
      <c r="AAQ52" s="429"/>
      <c r="AAR52" s="429"/>
      <c r="AAS52" s="429"/>
      <c r="AAT52" s="429"/>
      <c r="AAU52" s="429"/>
      <c r="AAV52" s="429"/>
      <c r="AAW52" s="429"/>
      <c r="AAX52" s="429"/>
      <c r="AAY52" s="429"/>
      <c r="AAZ52" s="429"/>
      <c r="ABA52" s="429"/>
      <c r="ABB52" s="429"/>
      <c r="ABC52" s="429"/>
      <c r="ABD52" s="429"/>
      <c r="ABE52" s="429"/>
      <c r="ABF52" s="429"/>
      <c r="ABG52" s="429"/>
      <c r="ABH52" s="429"/>
      <c r="ABI52" s="429"/>
      <c r="ABJ52" s="429"/>
      <c r="ABK52" s="429"/>
      <c r="ABL52" s="429"/>
      <c r="ABM52" s="429"/>
      <c r="ABN52" s="429"/>
      <c r="ABO52" s="429"/>
      <c r="ABP52" s="429"/>
      <c r="ABQ52" s="429"/>
      <c r="ABR52" s="429"/>
      <c r="ABS52" s="429"/>
      <c r="ABT52" s="429"/>
      <c r="ABU52" s="429"/>
      <c r="ABV52" s="429"/>
      <c r="ABW52" s="429"/>
      <c r="ABX52" s="429"/>
      <c r="ABY52" s="429"/>
      <c r="ABZ52" s="429"/>
      <c r="ACA52" s="429"/>
      <c r="ACB52" s="429"/>
      <c r="ACC52" s="429"/>
      <c r="ACD52" s="429"/>
      <c r="ACE52" s="429"/>
      <c r="ACF52" s="429"/>
      <c r="ACG52" s="429"/>
      <c r="ACH52" s="429"/>
      <c r="ACI52" s="429"/>
      <c r="ACJ52" s="429"/>
      <c r="ACK52" s="429"/>
      <c r="ACL52" s="429"/>
      <c r="ACM52" s="429"/>
      <c r="ACN52" s="429"/>
      <c r="ACO52" s="429"/>
      <c r="ACP52" s="429"/>
      <c r="ACQ52" s="429"/>
      <c r="ACR52" s="429"/>
      <c r="ACS52" s="429"/>
      <c r="ACT52" s="429"/>
      <c r="ACU52" s="429"/>
      <c r="ACV52" s="429"/>
      <c r="ACW52" s="429"/>
      <c r="ACX52" s="429"/>
      <c r="ACY52" s="429"/>
      <c r="ACZ52" s="429"/>
      <c r="ADA52" s="429"/>
      <c r="ADB52" s="429"/>
      <c r="ADC52" s="429"/>
      <c r="ADD52" s="429"/>
      <c r="ADE52" s="429"/>
      <c r="ADF52" s="429"/>
      <c r="ADG52" s="429"/>
      <c r="ADH52" s="429"/>
      <c r="ADI52" s="429"/>
      <c r="ADJ52" s="429"/>
      <c r="ADK52" s="429"/>
      <c r="ADL52" s="429"/>
      <c r="ADM52" s="429"/>
      <c r="ADN52" s="429"/>
      <c r="ADO52" s="429"/>
      <c r="ADP52" s="429"/>
      <c r="ADQ52" s="429"/>
      <c r="ADR52" s="429"/>
      <c r="ADS52" s="429"/>
      <c r="ADT52" s="429"/>
      <c r="ADU52" s="429"/>
      <c r="ADV52" s="429"/>
      <c r="ADW52" s="429"/>
      <c r="ADX52" s="429"/>
      <c r="ADY52" s="429"/>
      <c r="ADZ52" s="429"/>
      <c r="AEA52" s="429"/>
      <c r="AEB52" s="429"/>
      <c r="AEC52" s="429"/>
      <c r="AED52" s="429"/>
      <c r="AEE52" s="429"/>
      <c r="AEF52" s="429"/>
      <c r="AEG52" s="429"/>
      <c r="AEH52" s="429"/>
      <c r="AEI52" s="429"/>
      <c r="AEJ52" s="429"/>
      <c r="AEK52" s="429"/>
      <c r="AEL52" s="429"/>
      <c r="AEM52" s="429"/>
      <c r="AEN52" s="429"/>
      <c r="AEO52" s="429"/>
      <c r="AEP52" s="429"/>
      <c r="AEQ52" s="429"/>
      <c r="AER52" s="429"/>
      <c r="AES52" s="429"/>
      <c r="AET52" s="429"/>
      <c r="AEU52" s="429"/>
      <c r="AEV52" s="429"/>
      <c r="AEW52" s="429"/>
      <c r="AEX52" s="429"/>
      <c r="AEY52" s="429"/>
      <c r="AEZ52" s="429"/>
      <c r="AFA52" s="429"/>
      <c r="AFB52" s="429"/>
      <c r="AFC52" s="429"/>
      <c r="AFD52" s="429"/>
      <c r="AFE52" s="429"/>
      <c r="AFF52" s="429"/>
      <c r="AFG52" s="429"/>
      <c r="AFH52" s="429"/>
      <c r="AFI52" s="429"/>
      <c r="AFJ52" s="429"/>
      <c r="AFK52" s="429"/>
      <c r="AFL52" s="429"/>
      <c r="AFM52" s="429"/>
      <c r="AFN52" s="429"/>
      <c r="AFO52" s="429"/>
      <c r="AFP52" s="429"/>
      <c r="AFQ52" s="429"/>
      <c r="AFR52" s="429"/>
      <c r="AFS52" s="429"/>
      <c r="AFT52" s="429"/>
      <c r="AFU52" s="429"/>
      <c r="AFV52" s="429"/>
      <c r="AFW52" s="429"/>
      <c r="AFX52" s="429"/>
      <c r="AFY52" s="429"/>
      <c r="AFZ52" s="429"/>
      <c r="AGA52" s="429"/>
      <c r="AGB52" s="429"/>
      <c r="AGC52" s="429"/>
      <c r="AGD52" s="429"/>
      <c r="AGE52" s="429"/>
      <c r="AGF52" s="429"/>
      <c r="AGG52" s="429"/>
      <c r="AGH52" s="429"/>
      <c r="AGI52" s="429"/>
      <c r="AGJ52" s="429"/>
      <c r="AGK52" s="429"/>
      <c r="AGL52" s="429"/>
      <c r="AGM52" s="429"/>
      <c r="AGN52" s="429"/>
      <c r="AGO52" s="429"/>
      <c r="AGP52" s="429"/>
      <c r="AGQ52" s="429"/>
      <c r="AGR52" s="429"/>
      <c r="AGS52" s="429"/>
      <c r="AGT52" s="429"/>
      <c r="AGU52" s="429"/>
      <c r="AGV52" s="429"/>
      <c r="AGW52" s="429"/>
      <c r="AGX52" s="429"/>
      <c r="AGY52" s="429"/>
      <c r="AGZ52" s="429"/>
      <c r="AHA52" s="429"/>
      <c r="AHB52" s="429"/>
      <c r="AHC52" s="429"/>
      <c r="AHD52" s="429"/>
      <c r="AHE52" s="429"/>
      <c r="AHF52" s="429"/>
      <c r="AHG52" s="429"/>
      <c r="AHH52" s="429"/>
      <c r="AHI52" s="429"/>
      <c r="AHJ52" s="429"/>
      <c r="AHK52" s="429"/>
      <c r="AHL52" s="429"/>
      <c r="AHM52" s="429"/>
      <c r="AHN52" s="429"/>
      <c r="AHO52" s="429"/>
      <c r="AHP52" s="429"/>
      <c r="AHQ52" s="429"/>
      <c r="AHR52" s="429"/>
      <c r="AHS52" s="429"/>
      <c r="AHT52" s="429"/>
      <c r="AHU52" s="429"/>
      <c r="AHV52" s="429"/>
      <c r="AHW52" s="429"/>
      <c r="AHX52" s="429"/>
      <c r="AHY52" s="429"/>
      <c r="AHZ52" s="429"/>
      <c r="AIA52" s="429"/>
      <c r="AIB52" s="429"/>
      <c r="AIC52" s="429"/>
      <c r="AID52" s="429"/>
      <c r="AIE52" s="429"/>
      <c r="AIF52" s="429"/>
      <c r="AIG52" s="429"/>
      <c r="AIH52" s="429"/>
      <c r="AII52" s="429"/>
      <c r="AIJ52" s="429"/>
      <c r="AIK52" s="429"/>
      <c r="AIL52" s="429"/>
      <c r="AIM52" s="429"/>
      <c r="AIN52" s="429"/>
      <c r="AIO52" s="429"/>
      <c r="AIP52" s="429"/>
      <c r="AIQ52" s="429"/>
      <c r="AIR52" s="429"/>
      <c r="AIS52" s="429"/>
      <c r="AIT52" s="429"/>
      <c r="AIU52" s="429"/>
      <c r="AIV52" s="429"/>
      <c r="AIW52" s="429"/>
      <c r="AIX52" s="429"/>
      <c r="AIY52" s="429"/>
      <c r="AIZ52" s="429"/>
      <c r="AJA52" s="429"/>
      <c r="AJB52" s="429"/>
      <c r="AJC52" s="429"/>
      <c r="AJD52" s="429"/>
      <c r="AJE52" s="429"/>
      <c r="AJF52" s="429"/>
      <c r="AJG52" s="429"/>
      <c r="AJH52" s="429"/>
      <c r="AJI52" s="429"/>
      <c r="AJJ52" s="429"/>
      <c r="AJK52" s="429"/>
      <c r="AJL52" s="429"/>
      <c r="AJM52" s="429"/>
      <c r="AJN52" s="429"/>
      <c r="AJO52" s="429"/>
      <c r="AJP52" s="429"/>
      <c r="AJQ52" s="429"/>
      <c r="AJR52" s="429"/>
      <c r="AJS52" s="429"/>
      <c r="AJT52" s="429"/>
      <c r="AJU52" s="429"/>
      <c r="AJV52" s="429"/>
      <c r="AJW52" s="429"/>
      <c r="AJX52" s="429"/>
      <c r="AJY52" s="429"/>
      <c r="AJZ52" s="429"/>
      <c r="AKA52" s="429"/>
      <c r="AKB52" s="429"/>
      <c r="AKC52" s="429"/>
      <c r="AKD52" s="429"/>
      <c r="AKE52" s="429"/>
      <c r="AKF52" s="429"/>
      <c r="AKG52" s="429"/>
      <c r="AKH52" s="429"/>
      <c r="AKI52" s="429"/>
      <c r="AKJ52" s="429"/>
      <c r="AKK52" s="429"/>
      <c r="AKL52" s="429"/>
      <c r="AKM52" s="429"/>
      <c r="AKN52" s="429"/>
      <c r="AKO52" s="429"/>
      <c r="AKP52" s="429"/>
      <c r="AKQ52" s="429"/>
      <c r="AKR52" s="429"/>
      <c r="AKS52" s="429"/>
      <c r="AKT52" s="429"/>
      <c r="AKU52" s="429"/>
      <c r="AKV52" s="429"/>
      <c r="AKW52" s="429"/>
      <c r="AKX52" s="429"/>
      <c r="AKY52" s="429"/>
      <c r="AKZ52" s="429"/>
      <c r="ALA52" s="429"/>
      <c r="ALB52" s="429"/>
      <c r="ALC52" s="429"/>
      <c r="ALD52" s="429"/>
    </row>
  </sheetData>
  <mergeCells count="14">
    <mergeCell ref="I6:I8"/>
    <mergeCell ref="C6:C8"/>
    <mergeCell ref="E6:E8"/>
    <mergeCell ref="F6:F8"/>
    <mergeCell ref="G6:G8"/>
    <mergeCell ref="H6:H8"/>
    <mergeCell ref="AY6:AY8"/>
    <mergeCell ref="AZ6:AZ8"/>
    <mergeCell ref="J6:J8"/>
    <mergeCell ref="K6:K8"/>
    <mergeCell ref="L6:O6"/>
    <mergeCell ref="P6:R6"/>
    <mergeCell ref="U6:Z6"/>
    <mergeCell ref="AA6:AV6"/>
  </mergeCells>
  <printOptions headings="1" gridLines="1"/>
  <pageMargins left="0" right="0" top="0" bottom="0" header="0.31496062992125984" footer="0.31496062992125984"/>
  <pageSetup paperSize="8" scale="23" firstPageNumber="0" fitToHeight="0" orientation="landscape" r:id="rId1"/>
  <headerFooter>
    <oddHeader>&amp;RALLEGATO E PISTOIA</oddHeader>
  </headerFooter>
  <rowBreaks count="1" manualBreakCount="1">
    <brk id="2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8"/>
  <sheetViews>
    <sheetView workbookViewId="0">
      <selection sqref="A1:E17"/>
    </sheetView>
  </sheetViews>
  <sheetFormatPr defaultRowHeight="15" x14ac:dyDescent="0.2"/>
  <cols>
    <col min="1" max="1" width="25.5703125" style="35" customWidth="1"/>
    <col min="2" max="2" width="12.42578125" style="35" bestFit="1" customWidth="1"/>
    <col min="3" max="3" width="13.5703125" style="35" bestFit="1" customWidth="1"/>
    <col min="4" max="4" width="12.42578125" style="35" bestFit="1" customWidth="1"/>
    <col min="5" max="5" width="13.5703125" style="35" bestFit="1" customWidth="1"/>
    <col min="6" max="6" width="8.7109375" style="35" customWidth="1"/>
    <col min="7" max="16384" width="9.140625" style="35"/>
  </cols>
  <sheetData>
    <row r="1" spans="1:6" ht="15.75" x14ac:dyDescent="0.25">
      <c r="A1" s="1" t="s">
        <v>44</v>
      </c>
    </row>
    <row r="2" spans="1:6" x14ac:dyDescent="0.2">
      <c r="A2" s="35" t="s">
        <v>45</v>
      </c>
    </row>
    <row r="4" spans="1:6" ht="24.75" customHeight="1" x14ac:dyDescent="0.25">
      <c r="A4" s="36" t="s">
        <v>46</v>
      </c>
      <c r="B4" s="37">
        <v>2018</v>
      </c>
      <c r="C4" s="37">
        <v>2019</v>
      </c>
      <c r="D4" s="37">
        <v>2020</v>
      </c>
      <c r="E4" s="37" t="s">
        <v>47</v>
      </c>
      <c r="F4" s="38"/>
    </row>
    <row r="5" spans="1:6" x14ac:dyDescent="0.2">
      <c r="A5" s="39" t="s">
        <v>48</v>
      </c>
      <c r="B5" s="40">
        <v>63515866.899999999</v>
      </c>
      <c r="C5" s="40">
        <v>106767407.13</v>
      </c>
      <c r="D5" s="40">
        <v>79545233.980000004</v>
      </c>
      <c r="E5" s="40">
        <f>SUM(B5:D5)</f>
        <v>249828508.00999999</v>
      </c>
      <c r="F5" s="41"/>
    </row>
    <row r="6" spans="1:6" x14ac:dyDescent="0.2">
      <c r="A6" s="42" t="s">
        <v>49</v>
      </c>
      <c r="B6" s="40">
        <v>5500000</v>
      </c>
      <c r="C6" s="40">
        <v>4000000</v>
      </c>
      <c r="D6" s="40">
        <v>2000000</v>
      </c>
      <c r="E6" s="40">
        <f t="shared" ref="E6:E7" si="0">SUM(B6:D6)</f>
        <v>11500000</v>
      </c>
      <c r="F6" s="41"/>
    </row>
    <row r="7" spans="1:6" ht="25.5" x14ac:dyDescent="0.2">
      <c r="A7" s="42" t="s">
        <v>50</v>
      </c>
      <c r="B7" s="40">
        <v>8197000</v>
      </c>
      <c r="C7" s="40">
        <v>5727373.6899999995</v>
      </c>
      <c r="D7" s="40">
        <v>3904097.21</v>
      </c>
      <c r="E7" s="40">
        <f t="shared" si="0"/>
        <v>17828470.899999999</v>
      </c>
      <c r="F7" s="41"/>
    </row>
    <row r="8" spans="1:6" s="1" customFormat="1" ht="24.95" customHeight="1" x14ac:dyDescent="0.25">
      <c r="A8" s="43" t="s">
        <v>47</v>
      </c>
      <c r="B8" s="44">
        <f>SUM(B5:B7)</f>
        <v>77212866.900000006</v>
      </c>
      <c r="C8" s="44">
        <f t="shared" ref="C8:D8" si="1">SUM(C5:C7)</f>
        <v>116494780.81999999</v>
      </c>
      <c r="D8" s="44">
        <f t="shared" si="1"/>
        <v>85449331.189999998</v>
      </c>
      <c r="E8" s="44">
        <f>SUM(E5:E7)</f>
        <v>279156978.90999997</v>
      </c>
      <c r="F8" s="45"/>
    </row>
    <row r="9" spans="1:6" ht="24.95" customHeight="1" x14ac:dyDescent="0.2">
      <c r="A9" s="46" t="s">
        <v>528</v>
      </c>
      <c r="B9" s="37">
        <v>2018</v>
      </c>
      <c r="C9" s="37">
        <v>2019</v>
      </c>
      <c r="D9" s="37">
        <v>2020</v>
      </c>
      <c r="E9" s="37" t="s">
        <v>47</v>
      </c>
      <c r="F9" s="47"/>
    </row>
    <row r="10" spans="1:6" x14ac:dyDescent="0.2">
      <c r="A10" s="48" t="s">
        <v>51</v>
      </c>
      <c r="B10" s="49">
        <v>0</v>
      </c>
      <c r="C10" s="49">
        <v>0</v>
      </c>
      <c r="D10" s="49">
        <v>0</v>
      </c>
      <c r="E10" s="49">
        <f>SUM(B10:D10)</f>
        <v>0</v>
      </c>
      <c r="F10" s="41"/>
    </row>
    <row r="11" spans="1:6" x14ac:dyDescent="0.2">
      <c r="A11" s="50" t="s">
        <v>52</v>
      </c>
      <c r="B11" s="40">
        <v>50000000.000000007</v>
      </c>
      <c r="C11" s="40">
        <v>72837029.599999994</v>
      </c>
      <c r="D11" s="40">
        <v>31634061.489999998</v>
      </c>
      <c r="E11" s="49">
        <f t="shared" ref="E11:E16" si="2">SUM(B11:D11)</f>
        <v>154471091.09</v>
      </c>
      <c r="F11" s="41"/>
    </row>
    <row r="12" spans="1:6" x14ac:dyDescent="0.2">
      <c r="A12" s="50" t="s">
        <v>53</v>
      </c>
      <c r="B12" s="40">
        <v>9343634.3093206342</v>
      </c>
      <c r="C12" s="40">
        <v>12054838.299473597</v>
      </c>
      <c r="D12" s="40">
        <v>12297986.106861206</v>
      </c>
      <c r="E12" s="49">
        <f t="shared" si="2"/>
        <v>33696458.715655439</v>
      </c>
      <c r="F12" s="41"/>
    </row>
    <row r="13" spans="1:6" x14ac:dyDescent="0.2">
      <c r="A13" s="50" t="s">
        <v>54</v>
      </c>
      <c r="B13" s="40">
        <v>9907754.1075967047</v>
      </c>
      <c r="C13" s="40">
        <v>14591293.578848474</v>
      </c>
      <c r="D13" s="40">
        <v>15014561.423851969</v>
      </c>
      <c r="E13" s="49">
        <f t="shared" si="2"/>
        <v>39513609.110297143</v>
      </c>
      <c r="F13" s="41"/>
    </row>
    <row r="14" spans="1:6" x14ac:dyDescent="0.2">
      <c r="A14" s="50" t="s">
        <v>55</v>
      </c>
      <c r="B14" s="40">
        <v>7961478.483290121</v>
      </c>
      <c r="C14" s="40">
        <v>9950493.6981797703</v>
      </c>
      <c r="D14" s="40">
        <v>10799942.491833555</v>
      </c>
      <c r="E14" s="49">
        <f t="shared" si="2"/>
        <v>28711914.673303448</v>
      </c>
      <c r="F14" s="41"/>
    </row>
    <row r="15" spans="1:6" x14ac:dyDescent="0.2">
      <c r="A15" s="50" t="s">
        <v>56</v>
      </c>
      <c r="B15" s="40"/>
      <c r="C15" s="40">
        <v>7061125.6418427117</v>
      </c>
      <c r="D15" s="40">
        <v>7642091.7096868269</v>
      </c>
      <c r="E15" s="49">
        <f t="shared" si="2"/>
        <v>14703217.351529539</v>
      </c>
      <c r="F15" s="41"/>
    </row>
    <row r="16" spans="1:6" x14ac:dyDescent="0.2">
      <c r="A16" s="50" t="s">
        <v>57</v>
      </c>
      <c r="B16" s="40"/>
      <c r="C16" s="40"/>
      <c r="D16" s="40">
        <v>8060687.9687687363</v>
      </c>
      <c r="E16" s="49">
        <f t="shared" si="2"/>
        <v>8060687.9687687363</v>
      </c>
      <c r="F16" s="41"/>
    </row>
    <row r="17" spans="1:6" s="1" customFormat="1" ht="24.95" customHeight="1" x14ac:dyDescent="0.25">
      <c r="A17" s="51" t="s">
        <v>47</v>
      </c>
      <c r="B17" s="44">
        <f>SUM(B10:B16)</f>
        <v>77212866.900207475</v>
      </c>
      <c r="C17" s="44">
        <f t="shared" ref="C17:D17" si="3">SUM(C10:C16)</f>
        <v>116494780.81834453</v>
      </c>
      <c r="D17" s="44">
        <f t="shared" si="3"/>
        <v>85449331.191002294</v>
      </c>
      <c r="E17" s="44">
        <f>SUM(E10:E16)</f>
        <v>279156978.9095543</v>
      </c>
      <c r="F17" s="45"/>
    </row>
    <row r="18" spans="1:6" x14ac:dyDescent="0.2">
      <c r="B18" s="52"/>
    </row>
  </sheetData>
  <sheetProtection selectLockedCells="1" selectUnlockedCells="1"/>
  <pageMargins left="0.74803149606299213" right="0.74803149606299213" top="0.98425196850393704" bottom="0.98425196850393704" header="0.51181102362204722" footer="0.51181102362204722"/>
  <pageSetup paperSize="9" firstPageNumber="0" orientation="landscape" horizontalDpi="300" verticalDpi="300" r:id="rId1"/>
  <headerFooter alignWithMargins="0">
    <oddHeader>&amp;RALLEGATO 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20</vt:i4>
      </vt:variant>
    </vt:vector>
  </HeadingPairs>
  <TitlesOfParts>
    <vt:vector size="26" baseType="lpstr">
      <vt:lpstr>all 3 def</vt:lpstr>
      <vt:lpstr>EMPOLI 22_2</vt:lpstr>
      <vt:lpstr>all 3 firenze </vt:lpstr>
      <vt:lpstr>prato 22_2</vt:lpstr>
      <vt:lpstr>all 3 pistoia</vt:lpstr>
      <vt:lpstr>ALL 4  def</vt:lpstr>
      <vt:lpstr>'EMPOLI 22_2'!____xlnm_Print_Titles</vt:lpstr>
      <vt:lpstr>'EMPOLI 22_2'!____xlnm_Print_Titles_0</vt:lpstr>
      <vt:lpstr>'EMPOLI 22_2'!____xlnm_Print_Titles_0_0</vt:lpstr>
      <vt:lpstr>'EMPOLI 22_2'!____xlnm_Print_Titles_0_0_0</vt:lpstr>
      <vt:lpstr>'prato 22_2'!___xlnm_Print_Titles</vt:lpstr>
      <vt:lpstr>'prato 22_2'!___xlnm_Print_Titles_0</vt:lpstr>
      <vt:lpstr>'prato 22_2'!___xlnm_Print_Titles_0_0</vt:lpstr>
      <vt:lpstr>'prato 22_2'!___xlnm_Print_Titles_0_0_0</vt:lpstr>
      <vt:lpstr>'all 3 firenze '!__xlnm_Print_Titles</vt:lpstr>
      <vt:lpstr>'all 3 firenze '!__xlnm_Print_Titles_0</vt:lpstr>
      <vt:lpstr>'all 3 firenze '!__xlnm_Print_Titles_0_0</vt:lpstr>
      <vt:lpstr>'all 3 firenze '!__xlnm_Print_Titles_0_0_0</vt:lpstr>
      <vt:lpstr>'all 3 pistoia'!Area_stampa</vt:lpstr>
      <vt:lpstr>'EMPOLI 22_2'!Area_stampa</vt:lpstr>
      <vt:lpstr>'prato 22_2'!OLE_LINK1</vt:lpstr>
      <vt:lpstr>'all 3 def'!Titoli_stampa</vt:lpstr>
      <vt:lpstr>'all 3 firenze '!Titoli_stampa</vt:lpstr>
      <vt:lpstr>'all 3 pistoia'!Titoli_stampa</vt:lpstr>
      <vt:lpstr>'EMPOLI 22_2'!Titoli_stampa</vt:lpstr>
      <vt:lpstr>'prato 22_2'!Titoli_stampa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2018-02-22T17:18:24Z</cp:lastPrinted>
  <dcterms:created xsi:type="dcterms:W3CDTF">2018-02-14T10:00:24Z</dcterms:created>
  <dcterms:modified xsi:type="dcterms:W3CDTF">2018-03-05T11:39:03Z</dcterms:modified>
</cp:coreProperties>
</file>